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Read me" sheetId="1" r:id="rId1"/>
    <sheet name="Budget" sheetId="2" r:id="rId2"/>
    <sheet name="What-if" sheetId="3" r:id="rId3"/>
    <sheet name="Guidance snapshot" sheetId="4" r:id="rId4"/>
    <sheet name="Retirement" sheetId="5" r:id="rId5"/>
  </sheets>
  <calcPr calcId="0" fullCalcOnLoad="1" forceFullCalc="1" calcMode="auto"/>
</workbook>
</file>

<file path=xl/styles.xml><?xml version="1.0" encoding="utf-8"?>
<styleSheet xmlns="http://schemas.openxmlformats.org/spreadsheetml/2006/main">
  <numFmts count="1">
    <numFmt numFmtId="164" formatCode="$#,##0.00;[Red]($#,##0.00)"/>
  </numFmts>
  <fonts count="4">
    <font>
      <sz val="11"/>
      <name val="Calibri"/>
    </font>
    <font>
      <b/>
      <sz val="16"/>
      <color rgb="FFFFFFFF"/>
      <name val="Calibri"/>
    </font>
    <font>
      <b/>
      <sz val="11"/>
      <name val="Calibri"/>
    </font>
    <font>
      <sz val="11"/>
      <color rgb="FF175BA4"/>
      <name val="Calibri"/>
    </font>
  </fonts>
  <fills count="4">
    <fill>
      <patternFill patternType="none"/>
    </fill>
    <fill>
      <patternFill patternType="gray125"/>
    </fill>
    <fill>
      <patternFill patternType="solid">
        <fgColor rgb="FF174B3C"/>
        <bgColor indexed="64"/>
      </patternFill>
    </fill>
    <fill>
      <patternFill patternType="solid">
        <fgColor rgb="FFECEFEA"/>
        <bgColor indexed="64"/>
      </patternFill>
    </fill>
  </fills>
  <borders count="1">
    <border>
      <left/>
      <right/>
      <top/>
      <bottom/>
      <diagonal/>
    </border>
  </borders>
  <cellStyleXfs count="1">
    <xf numFmtId="0" fontId="0" fillId="0" borderId="0"/>
  </cellStyleXfs>
  <cellXfs count="9">
    <xf numFmtId="0" fontId="0" fillId="0" borderId="0" xfId="0"/>
    <xf numFmtId="0" fontId="1" fillId="2" borderId="0" xfId="0" applyFont="1" applyFill="1"/>
    <xf numFmtId="0" fontId="2" fillId="3" borderId="0" xfId="0" applyFont="1" applyFill="1" applyAlignment="1">
      <alignment wrapText="1" vertical="top"/>
    </xf>
    <xf numFmtId="164" fontId="0" fillId="0" borderId="0" xfId="0" applyNumberFormat="1"/>
    <xf numFmtId="10" fontId="0" fillId="0" borderId="0" xfId="0" applyNumberFormat="1"/>
    <xf numFmtId="164" fontId="3" fillId="0" borderId="0" xfId="0" applyNumberFormat="1" applyFont="1"/>
    <xf numFmtId="0" fontId="3" fillId="0" borderId="0" xfId="0" applyFont="1"/>
    <xf numFmtId="10" fontId="3" fillId="0" borderId="0" xfId="0" applyNumberFormat="1" applyFont="1"/>
    <xf numFmtId="0" fontId="0" fillId="0" borderId="0" xfId="0" applyAlignment="1">
      <alignment wrapText="1" vertical="top"/>
    </xf>
  </cellXfs>
  <cellStyles count="1">
    <cellStyle name="Normal" xfId="0" builtinId="0"/>
  </cellStyles>
</styleSheet>
</file>

<file path=xl/_rels/workbook.xml.rels><?xml version="1.0" encoding="UTF-8"?><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dimension ref="A1:B13"/>
  <sheetViews>
    <sheetView workbookViewId="0"/>
  </sheetViews>
  <cols>
    <col min="1" max="1" width="32" customWidth="1"/>
    <col min="2" max="2" width="110" customWidth="1"/>
  </cols>
  <sheetData>
    <row r="1" ht="26" customHeight="1">
      <c r="A1" s="1" t="inlineStr">
        <is>
          <t xml:space="preserve">David Tom Publishing</t>
        </is>
      </c>
    </row>
    <row r="2" ht="42" customHeight="1">
      <c r="A2" s="2" t="inlineStr">
        <is>
          <t xml:space="preserve">Blank budget and retirement template</t>
        </is>
      </c>
    </row>
    <row r="3" ht="15" customHeight="1">
      <c r="A3" t="inlineStr">
        <is>
          <t xml:space="preserve">Exported at</t>
        </is>
      </c>
      <c r="B3" t="inlineStr">
        <is>
          <t xml:space="preserve">2026-10-25T00:00:00.000Z</t>
        </is>
      </c>
    </row>
    <row r="4" ht="15" customHeight="1">
      <c r="A4" t="inlineStr">
        <is>
          <t xml:space="preserve">Currency / export version</t>
        </is>
      </c>
      <c r="B4" t="inlineStr">
        <is>
          <t xml:space="preserve">USD / dtp-budget-xlsx-1</t>
        </is>
      </c>
    </row>
    <row r="5" ht="15" customHeight="1">
      <c r="A5" t="inlineStr">
        <is>
          <t xml:space="preserve">Budget source schema</t>
        </is>
      </c>
      <c r="B5">
        <v>2</v>
      </c>
    </row>
    <row r="6" ht="51" customHeight="1">
      <c r="A6" t="inlineStr">
        <is>
          <t xml:space="preserve">How to use</t>
        </is>
      </c>
      <c r="B6" s="8" t="inlineStr">
        <is>
          <t xml:space="preserve">Budget: edit blue inputs; formulas recalculate totals. What-if: a separate hypothetical change. Retirement: enter personal assumptions in the blue cells; results stay blank until valid. Guidance snapshot: export-time values only.</t>
        </is>
      </c>
    </row>
    <row r="7" ht="66" customHeight="1">
      <c r="A7" t="inlineStr">
        <is>
          <t xml:space="preserve">Blank template</t>
        </is>
      </c>
      <c r="B7" s="8" t="inlineStr">
        <is>
          <t xml:space="preserve">No personal entries or example amounts are included. Fill in blue input cells. Budget totals stay blank until at least one valid amount is entered; retirement estimates require the personal assumptions shown on that sheet. Downloading this template does not change your website entries.</t>
        </is>
      </c>
    </row>
    <row r="8" ht="21" customHeight="1">
      <c r="A8" t="inlineStr">
        <is>
          <t xml:space="preserve">Calculation policy</t>
        </is>
      </c>
      <c r="B8" s="8" t="inlineStr">
        <is>
          <t xml:space="preserve">Monthly averages with per-line rounding to cents.</t>
        </is>
      </c>
    </row>
    <row r="9" ht="51" customHeight="1">
      <c r="A9" t="inlineStr">
        <is>
          <t xml:space="preserve">Missing values</t>
        </is>
      </c>
      <c r="B9" s="8" t="inlineStr">
        <is>
          <t xml:space="preserve">Blank amounts are missing, not a known zero. Once you enter budget amounts, other missing rows contribute zero and remain marked Missing. Invalid rows suppress totals. Enter 0 for a known zero.</t>
        </is>
      </c>
    </row>
    <row r="10" ht="51" customHeight="1">
      <c r="A10" t="inlineStr">
        <is>
          <t xml:space="preserve">Privacy</t>
        </is>
      </c>
      <c r="B10" s="8" t="inlineStr">
        <is>
          <t xml:space="preserve">This public blank template contains no personal entries. After you fill it in, store and share it carefully. Opening it in a cloud spreadsheet service is your own upload decision. No macros, external links or data connections are included.</t>
        </is>
      </c>
    </row>
    <row r="11" ht="51" customHeight="1">
      <c r="A11" t="inlineStr">
        <is>
          <t xml:space="preserve">Recalculation</t>
        </is>
      </c>
      <c r="B11" s="8" t="inlineStr">
        <is>
          <t xml:space="preserve">Use a spreadsheet application with automatic formula recalculation. Currency is USD; return/inflation/fee assumptions are percentages. Compatible formula behavior still needs verification in your application.</t>
        </is>
      </c>
    </row>
    <row r="12" ht="51" customHeight="1">
      <c r="A12" t="inlineStr">
        <is>
          <t xml:space="preserve">Limits</t>
        </is>
      </c>
      <c r="B12" s="8" t="inlineStr">
        <is>
          <t xml:space="preserve">Educational estimates, not financial advice, lender approval, a trading instruction or a guarantee of retirement readiness. Constant-return retirement scenarios do not model market paths, taxes, changing law or unexpected costs.</t>
        </is>
      </c>
    </row>
    <row r="13" ht="51" customHeight="1">
      <c r="A13" t="inlineStr">
        <is>
          <t xml:space="preserve">Editing scope</t>
        </is>
      </c>
      <c r="B13" s="8" t="inlineStr">
        <is>
          <t xml:space="preserve">Edit existing input cells. Structural changes such as replacing formula cells, moving tables or adding rows outside the ranges may break calculations. Keep the original export if experimenting.</t>
        </is>
      </c>
    </row>
  </sheetData>
  <mergeCells count="2">
    <mergeCell ref="A1:B1"/>
    <mergeCell ref="A2:B2"/>
  </mergeCells>
</worksheet>
</file>

<file path=xl/worksheets/sheet2.xml><?xml version="1.0" encoding="utf-8"?>
<worksheet xmlns="http://schemas.openxmlformats.org/spreadsheetml/2006/main">
  <dimension ref="A1:G26"/>
  <sheetViews>
    <sheetView workbookViewId="0">
      <pane ySplit="4" topLeftCell="A5" activePane="bottomLeft" state="frozen"/>
    </sheetView>
  </sheetViews>
  <cols>
    <col min="1" max="1" width="34" customWidth="1"/>
    <col min="2" max="2" width="45" customWidth="1"/>
    <col min="3" max="3" width="20" customWidth="1"/>
    <col min="4" max="4" width="22" customWidth="1"/>
    <col min="5" max="5" width="32" customWidth="1"/>
    <col min="6" max="6" width="20" customWidth="1"/>
    <col min="7" max="7" width="18" customWidth="1"/>
  </cols>
  <sheetData>
    <row r="1" ht="26" customHeight="1">
      <c r="A1" s="1" t="inlineStr">
        <is>
          <t xml:space="preserve">DTP monthly budget</t>
        </is>
      </c>
    </row>
    <row r="2" ht="21" customHeight="1">
      <c r="A2" s="8" t="inlineStr">
        <is>
          <t xml:space="preserve">Blue cells are editable. Blank amounts remain missing; zero means known zero. Use the listed category and frequency choices.</t>
        </is>
      </c>
    </row>
    <row r="3" ht="21" customHeight="1">
      <c r="A3" s="8" t="inlineStr">
        <is>
          <t xml:space="preserve">Monthly averages, not due dates. Category/purpose descriptions and amounts may contain private information.</t>
        </is>
      </c>
    </row>
    <row r="4" ht="42" customHeight="1">
      <c r="A4" s="2" t="inlineStr">
        <is>
          <t xml:space="preserve">Category</t>
        </is>
      </c>
      <c r="B4" s="2" t="inlineStr">
        <is>
          <t xml:space="preserve">Description</t>
        </is>
      </c>
      <c r="C4" s="2" t="inlineStr">
        <is>
          <t xml:space="preserve">Amount USD</t>
        </is>
      </c>
      <c r="D4" s="2" t="inlineStr">
        <is>
          <t xml:space="preserve">Frequency</t>
        </is>
      </c>
      <c r="E4" s="2" t="inlineStr">
        <is>
          <t xml:space="preserve">Review as (snapshot label)</t>
        </is>
      </c>
      <c r="F4" s="2" t="inlineStr">
        <is>
          <t xml:space="preserve">Monthly USD</t>
        </is>
      </c>
      <c r="G4" s="2" t="inlineStr">
        <is>
          <t xml:space="preserve">Entry status</t>
        </is>
      </c>
    </row>
    <row r="5" ht="15" customHeight="1">
      <c r="A5" s="6" t="inlineStr">
        <is>
          <t xml:space="preserve">Take-home income</t>
        </is>
      </c>
      <c r="B5" s="6" t="inlineStr">
        <is>
          <t xml:space="preserve">Take-home pay</t>
        </is>
      </c>
      <c r="C5" s="5"/>
      <c r="D5" s="6" t="inlineStr">
        <is>
          <t xml:space="preserve">Every two weeks</t>
        </is>
      </c>
      <c r="E5" t="inlineStr">
        <is>
          <t xml:space="preserve"/>
        </is>
      </c>
      <c r="F5" s="3" t="str">
        <f>IF(G5="Entered",ROUND(ROUND(C5*100,0)*IF(D5="Weekly",52/12,IF(D5="Every two weeks",26/12,IF(D5="Twice a month",2,IF(D5="Monthly",1,1/12)))),0)/100,"")</f>
        <v/>
      </c>
      <c r="G5" s="0" t="str">
        <f>IF(IFERROR(AND(OR(A5="Take-home income",A5="Fixed expenses",A5="Variable expenses",A5="Debt payments",A5="Savings goals",A5="Irregular bills"),OR(D5="Weekly",D5="Every two weeks",D5="Twice a month",D5="Monthly",D5="Yearly")),FALSE()),IF(C5="","Missing",IF(IFERROR(AND(OR(A5="Take-home income",A5="Fixed expenses",A5="Variable expenses",A5="Debt payments",A5="Savings goals",A5="Irregular bills"),OR(D5="Weekly",D5="Every two weeks",D5="Twice a month",D5="Monthly",D5="Yearly"),ISNUMBER(C5),C5&gt;=0,C5&lt;=1000000000,ABS(C5*100-ROUND(C5*100,0))&lt;0.00001),FALSE()),"Entered","Invalid")),"Invalid")</f>
        <v>Missing</v>
      </c>
    </row>
    <row r="6" ht="15" customHeight="1">
      <c r="A6" s="6" t="inlineStr">
        <is>
          <t xml:space="preserve">Take-home income</t>
        </is>
      </c>
      <c r="B6" s="6" t="inlineStr">
        <is>
          <t xml:space="preserve">Other income</t>
        </is>
      </c>
      <c r="C6" s="5"/>
      <c r="D6" s="6" t="inlineStr">
        <is>
          <t xml:space="preserve">Monthly</t>
        </is>
      </c>
      <c r="E6" t="inlineStr">
        <is>
          <t xml:space="preserve"/>
        </is>
      </c>
      <c r="F6" s="3" t="str">
        <f>IF(G6="Entered",ROUND(ROUND(C6*100,0)*IF(D6="Weekly",52/12,IF(D6="Every two weeks",26/12,IF(D6="Twice a month",2,IF(D6="Monthly",1,1/12)))),0)/100,"")</f>
        <v/>
      </c>
      <c r="G6" s="0" t="str">
        <f>IF(IFERROR(AND(OR(A6="Take-home income",A6="Fixed expenses",A6="Variable expenses",A6="Debt payments",A6="Savings goals",A6="Irregular bills"),OR(D6="Weekly",D6="Every two weeks",D6="Twice a month",D6="Monthly",D6="Yearly")),FALSE()),IF(C6="","Missing",IF(IFERROR(AND(OR(A6="Take-home income",A6="Fixed expenses",A6="Variable expenses",A6="Debt payments",A6="Savings goals",A6="Irregular bills"),OR(D6="Weekly",D6="Every two weeks",D6="Twice a month",D6="Monthly",D6="Yearly"),ISNUMBER(C6),C6&gt;=0,C6&lt;=1000000000,ABS(C6*100-ROUND(C6*100,0))&lt;0.00001),FALSE()),"Entered","Invalid")),"Invalid")</f>
        <v>Missing</v>
      </c>
    </row>
    <row r="7" ht="15" customHeight="1">
      <c r="A7" s="6" t="inlineStr">
        <is>
          <t xml:space="preserve">Fixed expenses</t>
        </is>
      </c>
      <c r="B7" s="6" t="inlineStr">
        <is>
          <t xml:space="preserve">Housing</t>
        </is>
      </c>
      <c r="C7" s="5"/>
      <c r="D7" s="6" t="inlineStr">
        <is>
          <t xml:space="preserve">Monthly</t>
        </is>
      </c>
      <c r="E7" t="inlineStr">
        <is>
          <t xml:space="preserve">Housing and related costs</t>
        </is>
      </c>
      <c r="F7" s="3" t="str">
        <f>IF(G7="Entered",ROUND(ROUND(C7*100,0)*IF(D7="Weekly",52/12,IF(D7="Every two weeks",26/12,IF(D7="Twice a month",2,IF(D7="Monthly",1,1/12)))),0)/100,"")</f>
        <v/>
      </c>
      <c r="G7" s="0" t="str">
        <f>IF(IFERROR(AND(OR(A7="Take-home income",A7="Fixed expenses",A7="Variable expenses",A7="Debt payments",A7="Savings goals",A7="Irregular bills"),OR(D7="Weekly",D7="Every two weeks",D7="Twice a month",D7="Monthly",D7="Yearly")),FALSE()),IF(C7="","Missing",IF(IFERROR(AND(OR(A7="Take-home income",A7="Fixed expenses",A7="Variable expenses",A7="Debt payments",A7="Savings goals",A7="Irregular bills"),OR(D7="Weekly",D7="Every two weeks",D7="Twice a month",D7="Monthly",D7="Yearly"),ISNUMBER(C7),C7&gt;=0,C7&lt;=1000000000,ABS(C7*100-ROUND(C7*100,0))&lt;0.00001),FALSE()),"Entered","Invalid")),"Invalid")</f>
        <v>Missing</v>
      </c>
    </row>
    <row r="8" ht="15" customHeight="1">
      <c r="A8" s="6" t="inlineStr">
        <is>
          <t xml:space="preserve">Fixed expenses</t>
        </is>
      </c>
      <c r="B8" s="6" t="inlineStr">
        <is>
          <t xml:space="preserve">Utilities &amp; internet</t>
        </is>
      </c>
      <c r="C8" s="5"/>
      <c r="D8" s="6" t="inlineStr">
        <is>
          <t xml:space="preserve">Monthly</t>
        </is>
      </c>
      <c r="E8" t="inlineStr">
        <is>
          <t xml:space="preserve">Other / not classified</t>
        </is>
      </c>
      <c r="F8" s="3" t="str">
        <f>IF(G8="Entered",ROUND(ROUND(C8*100,0)*IF(D8="Weekly",52/12,IF(D8="Every two weeks",26/12,IF(D8="Twice a month",2,IF(D8="Monthly",1,1/12)))),0)/100,"")</f>
        <v/>
      </c>
      <c r="G8" s="0" t="str">
        <f>IF(IFERROR(AND(OR(A8="Take-home income",A8="Fixed expenses",A8="Variable expenses",A8="Debt payments",A8="Savings goals",A8="Irregular bills"),OR(D8="Weekly",D8="Every two weeks",D8="Twice a month",D8="Monthly",D8="Yearly")),FALSE()),IF(C8="","Missing",IF(IFERROR(AND(OR(A8="Take-home income",A8="Fixed expenses",A8="Variable expenses",A8="Debt payments",A8="Savings goals",A8="Irregular bills"),OR(D8="Weekly",D8="Every two weeks",D8="Twice a month",D8="Monthly",D8="Yearly"),ISNUMBER(C8),C8&gt;=0,C8&lt;=1000000000,ABS(C8*100-ROUND(C8*100,0))&lt;0.00001),FALSE()),"Entered","Invalid")),"Invalid")</f>
        <v>Missing</v>
      </c>
    </row>
    <row r="9" ht="15" customHeight="1">
      <c r="A9" s="6" t="inlineStr">
        <is>
          <t xml:space="preserve">Variable expenses</t>
        </is>
      </c>
      <c r="B9" s="6" t="inlineStr">
        <is>
          <t xml:space="preserve">Groceries</t>
        </is>
      </c>
      <c r="C9" s="5"/>
      <c r="D9" s="6" t="inlineStr">
        <is>
          <t xml:space="preserve">Weekly</t>
        </is>
      </c>
      <c r="E9" t="inlineStr">
        <is>
          <t xml:space="preserve">Groceries</t>
        </is>
      </c>
      <c r="F9" s="3" t="str">
        <f>IF(G9="Entered",ROUND(ROUND(C9*100,0)*IF(D9="Weekly",52/12,IF(D9="Every two weeks",26/12,IF(D9="Twice a month",2,IF(D9="Monthly",1,1/12)))),0)/100,"")</f>
        <v/>
      </c>
      <c r="G9" s="0" t="str">
        <f>IF(IFERROR(AND(OR(A9="Take-home income",A9="Fixed expenses",A9="Variable expenses",A9="Debt payments",A9="Savings goals",A9="Irregular bills"),OR(D9="Weekly",D9="Every two weeks",D9="Twice a month",D9="Monthly",D9="Yearly")),FALSE()),IF(C9="","Missing",IF(IFERROR(AND(OR(A9="Take-home income",A9="Fixed expenses",A9="Variable expenses",A9="Debt payments",A9="Savings goals",A9="Irregular bills"),OR(D9="Weekly",D9="Every two weeks",D9="Twice a month",D9="Monthly",D9="Yearly"),ISNUMBER(C9),C9&gt;=0,C9&lt;=1000000000,ABS(C9*100-ROUND(C9*100,0))&lt;0.00001),FALSE()),"Entered","Invalid")),"Invalid")</f>
        <v>Missing</v>
      </c>
    </row>
    <row r="10" ht="15" customHeight="1">
      <c r="A10" s="6" t="inlineStr">
        <is>
          <t xml:space="preserve">Variable expenses</t>
        </is>
      </c>
      <c r="B10" s="6" t="inlineStr">
        <is>
          <t xml:space="preserve">Transport &amp; other spending</t>
        </is>
      </c>
      <c r="C10" s="5"/>
      <c r="D10" s="6" t="inlineStr">
        <is>
          <t xml:space="preserve">Monthly</t>
        </is>
      </c>
      <c r="E10" t="inlineStr">
        <is>
          <t xml:space="preserve">Other / not classified</t>
        </is>
      </c>
      <c r="F10" s="3" t="str">
        <f>IF(G10="Entered",ROUND(ROUND(C10*100,0)*IF(D10="Weekly",52/12,IF(D10="Every two weeks",26/12,IF(D10="Twice a month",2,IF(D10="Monthly",1,1/12)))),0)/100,"")</f>
        <v/>
      </c>
      <c r="G10" s="0" t="str">
        <f>IF(IFERROR(AND(OR(A10="Take-home income",A10="Fixed expenses",A10="Variable expenses",A10="Debt payments",A10="Savings goals",A10="Irregular bills"),OR(D10="Weekly",D10="Every two weeks",D10="Twice a month",D10="Monthly",D10="Yearly")),FALSE()),IF(C10="","Missing",IF(IFERROR(AND(OR(A10="Take-home income",A10="Fixed expenses",A10="Variable expenses",A10="Debt payments",A10="Savings goals",A10="Irregular bills"),OR(D10="Weekly",D10="Every two weeks",D10="Twice a month",D10="Monthly",D10="Yearly"),ISNUMBER(C10),C10&gt;=0,C10&lt;=1000000000,ABS(C10*100-ROUND(C10*100,0))&lt;0.00001),FALSE()),"Entered","Invalid")),"Invalid")</f>
        <v>Missing</v>
      </c>
    </row>
    <row r="11" ht="15" customHeight="1">
      <c r="A11" s="6" t="inlineStr">
        <is>
          <t xml:space="preserve">Debt payments</t>
        </is>
      </c>
      <c r="B11" s="6" t="inlineStr">
        <is>
          <t xml:space="preserve">Existing debt payments</t>
        </is>
      </c>
      <c r="C11" s="5"/>
      <c r="D11" s="6" t="inlineStr">
        <is>
          <t xml:space="preserve">Monthly</t>
        </is>
      </c>
      <c r="E11" t="inlineStr">
        <is>
          <t xml:space="preserve">Other / not classified</t>
        </is>
      </c>
      <c r="F11" s="3" t="str">
        <f>IF(G11="Entered",ROUND(ROUND(C11*100,0)*IF(D11="Weekly",52/12,IF(D11="Every two weeks",26/12,IF(D11="Twice a month",2,IF(D11="Monthly",1,1/12)))),0)/100,"")</f>
        <v/>
      </c>
      <c r="G11" s="0" t="str">
        <f>IF(IFERROR(AND(OR(A11="Take-home income",A11="Fixed expenses",A11="Variable expenses",A11="Debt payments",A11="Savings goals",A11="Irregular bills"),OR(D11="Weekly",D11="Every two weeks",D11="Twice a month",D11="Monthly",D11="Yearly")),FALSE()),IF(C11="","Missing",IF(IFERROR(AND(OR(A11="Take-home income",A11="Fixed expenses",A11="Variable expenses",A11="Debt payments",A11="Savings goals",A11="Irregular bills"),OR(D11="Weekly",D11="Every two weeks",D11="Twice a month",D11="Monthly",D11="Yearly"),ISNUMBER(C11),C11&gt;=0,C11&lt;=1000000000,ABS(C11*100-ROUND(C11*100,0))&lt;0.00001),FALSE()),"Entered","Invalid")),"Invalid")</f>
        <v>Missing</v>
      </c>
    </row>
    <row r="12" ht="15" customHeight="1">
      <c r="A12" s="6" t="inlineStr">
        <is>
          <t xml:space="preserve">Savings goals</t>
        </is>
      </c>
      <c r="B12" s="6" t="inlineStr">
        <is>
          <t xml:space="preserve">Savings goal</t>
        </is>
      </c>
      <c r="C12" s="5"/>
      <c r="D12" s="6" t="inlineStr">
        <is>
          <t xml:space="preserve">Monthly</t>
        </is>
      </c>
      <c r="E12" t="inlineStr">
        <is>
          <t xml:space="preserve"/>
        </is>
      </c>
      <c r="F12" s="3" t="str">
        <f>IF(G12="Entered",ROUND(ROUND(C12*100,0)*IF(D12="Weekly",52/12,IF(D12="Every two weeks",26/12,IF(D12="Twice a month",2,IF(D12="Monthly",1,1/12)))),0)/100,"")</f>
        <v/>
      </c>
      <c r="G12" s="0" t="str">
        <f>IF(IFERROR(AND(OR(A12="Take-home income",A12="Fixed expenses",A12="Variable expenses",A12="Debt payments",A12="Savings goals",A12="Irregular bills"),OR(D12="Weekly",D12="Every two weeks",D12="Twice a month",D12="Monthly",D12="Yearly")),FALSE()),IF(C12="","Missing",IF(IFERROR(AND(OR(A12="Take-home income",A12="Fixed expenses",A12="Variable expenses",A12="Debt payments",A12="Savings goals",A12="Irregular bills"),OR(D12="Weekly",D12="Every two weeks",D12="Twice a month",D12="Monthly",D12="Yearly"),ISNUMBER(C12),C12&gt;=0,C12&lt;=1000000000,ABS(C12*100-ROUND(C12*100,0))&lt;0.00001),FALSE()),"Entered","Invalid")),"Invalid")</f>
        <v>Missing</v>
      </c>
    </row>
    <row r="13" ht="15" customHeight="1">
      <c r="A13" s="6" t="inlineStr">
        <is>
          <t xml:space="preserve">Irregular bills</t>
        </is>
      </c>
      <c r="B13" s="6" t="inlineStr">
        <is>
          <t xml:space="preserve">Yearly insurance &amp; fees</t>
        </is>
      </c>
      <c r="C13" s="5"/>
      <c r="D13" s="6" t="inlineStr">
        <is>
          <t xml:space="preserve">Yearly</t>
        </is>
      </c>
      <c r="E13" t="inlineStr">
        <is>
          <t xml:space="preserve">Other / not classified</t>
        </is>
      </c>
      <c r="F13" s="3" t="str">
        <f>IF(G13="Entered",ROUND(ROUND(C13*100,0)*IF(D13="Weekly",52/12,IF(D13="Every two weeks",26/12,IF(D13="Twice a month",2,IF(D13="Monthly",1,1/12)))),0)/100,"")</f>
        <v/>
      </c>
      <c r="G13" s="0" t="str">
        <f>IF(IFERROR(AND(OR(A13="Take-home income",A13="Fixed expenses",A13="Variable expenses",A13="Debt payments",A13="Savings goals",A13="Irregular bills"),OR(D13="Weekly",D13="Every two weeks",D13="Twice a month",D13="Monthly",D13="Yearly")),FALSE()),IF(C13="","Missing",IF(IFERROR(AND(OR(A13="Take-home income",A13="Fixed expenses",A13="Variable expenses",A13="Debt payments",A13="Savings goals",A13="Irregular bills"),OR(D13="Weekly",D13="Every two weeks",D13="Twice a month",D13="Monthly",D13="Yearly"),ISNUMBER(C13),C13&gt;=0,C13&lt;=1000000000,ABS(C13*100-ROUND(C13*100,0))&lt;0.00001),FALSE()),"Entered","Invalid")),"Invalid")</f>
        <v>Missing</v>
      </c>
    </row>
    <row r="14" ht="15" customHeight="1"/>
    <row r="15" ht="42" customHeight="1">
      <c r="A15" s="2" t="inlineStr">
        <is>
          <t xml:space="preserve">Monthly summary</t>
        </is>
      </c>
      <c r="B15" s="2" t="inlineStr">
        <is>
          <t xml:space="preserve">USD</t>
        </is>
      </c>
    </row>
    <row r="16" ht="15" customHeight="1">
      <c r="A16" t="inlineStr">
        <is>
          <t xml:space="preserve">Take-home income</t>
        </is>
      </c>
      <c r="B16" s="3" t="str">
        <f>IF(OR(COUNTIF(G5:G13,"Invalid")&gt;0,COUNTIF(G5:G13,"Entered")=0),"",SUMIF(A5:A13,"Take-home income",F5:F13))</f>
        <v/>
      </c>
    </row>
    <row r="17" ht="15" customHeight="1">
      <c r="A17" t="inlineStr">
        <is>
          <t xml:space="preserve">Fixed expenses</t>
        </is>
      </c>
      <c r="B17" s="3" t="str">
        <f>IF(OR(COUNTIF(G5:G13,"Invalid")&gt;0,COUNTIF(G5:G13,"Entered")=0),"",SUMIF(A5:A13,"Fixed expenses",F5:F13))</f>
        <v/>
      </c>
    </row>
    <row r="18" ht="15" customHeight="1">
      <c r="A18" t="inlineStr">
        <is>
          <t xml:space="preserve">Variable expenses</t>
        </is>
      </c>
      <c r="B18" s="3" t="str">
        <f>IF(OR(COUNTIF(G5:G13,"Invalid")&gt;0,COUNTIF(G5:G13,"Entered")=0),"",SUMIF(A5:A13,"Variable expenses",F5:F13))</f>
        <v/>
      </c>
    </row>
    <row r="19" ht="15" customHeight="1">
      <c r="A19" t="inlineStr">
        <is>
          <t xml:space="preserve">Debt payments</t>
        </is>
      </c>
      <c r="B19" s="3" t="str">
        <f>IF(OR(COUNTIF(G5:G13,"Invalid")&gt;0,COUNTIF(G5:G13,"Entered")=0),"",SUMIF(A5:A13,"Debt payments",F5:F13))</f>
        <v/>
      </c>
    </row>
    <row r="20" ht="15" customHeight="1">
      <c r="A20" t="inlineStr">
        <is>
          <t xml:space="preserve">Irregular bills</t>
        </is>
      </c>
      <c r="B20" s="3" t="str">
        <f>IF(OR(COUNTIF(G5:G13,"Invalid")&gt;0,COUNTIF(G5:G13,"Entered")=0),"",SUMIF(A5:A13,"Irregular bills",F5:F13))</f>
        <v/>
      </c>
    </row>
    <row r="21" ht="15" customHeight="1">
      <c r="A21" t="inlineStr">
        <is>
          <t xml:space="preserve">Savings goals</t>
        </is>
      </c>
      <c r="B21" s="3" t="str">
        <f>IF(OR(COUNTIF(G5:G13,"Invalid")&gt;0,COUNTIF(G5:G13,"Entered")=0),"",SUMIF(A5:A13,"Savings goals",F5:F13))</f>
        <v/>
      </c>
    </row>
    <row r="22" ht="15" customHeight="1">
      <c r="A22" t="inlineStr">
        <is>
          <t xml:space="preserve">Total spending &amp; debt</t>
        </is>
      </c>
      <c r="B22" s="3" t="str">
        <f>IF(OR(COUNTIF(G5:G13,"Invalid")&gt;0,COUNTIF(G5:G13,"Entered")=0),"",SUM(B17:B20))</f>
        <v/>
      </c>
    </row>
    <row r="23" ht="15" customHeight="1">
      <c r="A23" t="inlineStr">
        <is>
          <t xml:space="preserve">Planned outflow including savings</t>
        </is>
      </c>
      <c r="B23" s="3" t="str">
        <f>IF(OR(COUNTIF(G5:G13,"Invalid")&gt;0,COUNTIF(G5:G13,"Entered")=0),"",B22+B21)</f>
        <v/>
      </c>
    </row>
    <row r="24" ht="15" customHeight="1">
      <c r="A24" t="inlineStr">
        <is>
          <t xml:space="preserve">Remaining / shortfall</t>
        </is>
      </c>
      <c r="B24" s="3" t="str">
        <f>IF(OR(COUNTIF(G5:G13,"Invalid")&gt;0,COUNTIF(G5:G13,"Entered")=0),"",B16-B23)</f>
        <v/>
      </c>
    </row>
    <row r="25" ht="15" customHeight="1">
      <c r="A25" t="inlineStr">
        <is>
          <t xml:space="preserve">Missing amounts</t>
        </is>
      </c>
      <c r="B25" s="0">
        <f>COUNTIF(G5:G13,"Missing")</f>
        <v>9</v>
      </c>
    </row>
    <row r="26" ht="15" customHeight="1">
      <c r="A26" t="inlineStr">
        <is>
          <t xml:space="preserve">Invalid rows — correct before using totals</t>
        </is>
      </c>
      <c r="B26" s="0">
        <f>COUNTIF(G5:G13,"Invalid")</f>
        <v>0</v>
      </c>
    </row>
  </sheetData>
  <mergeCells count="3">
    <mergeCell ref="A1:G1"/>
    <mergeCell ref="A2:G2"/>
    <mergeCell ref="A3:G3"/>
  </mergeCells>
  <dataValidations count="3">
    <dataValidation type="list" allowBlank="1" showErrorMessage="1" errorTitle="Check this input" error="Use a supported category, frequency or non-negative amount." sqref="A5:A13">
      <formula1>"Take-home income,Fixed expenses,Variable expenses,Debt payments,Savings goals,Irregular bills"</formula1>
    </dataValidation>
    <dataValidation type="list" allowBlank="1" showErrorMessage="1" errorTitle="Check this input" error="Use a supported category, frequency or non-negative amount." sqref="D5:D13">
      <formula1>"Weekly,Every two weeks,Twice a month,Monthly,Yearly"</formula1>
    </dataValidation>
    <dataValidation type="decimal" operator="between" allowBlank="1" showErrorMessage="1" errorTitle="Check this input" error="Use a supported category, frequency or non-negative amount." sqref="C5:C13">
      <formula1>0</formula1>
      <formula2>1000000000</formula2>
    </dataValidation>
  </dataValidations>
</worksheet>
</file>

<file path=xl/worksheets/sheet3.xml><?xml version="1.0" encoding="utf-8"?>
<worksheet xmlns="http://schemas.openxmlformats.org/spreadsheetml/2006/main">
  <dimension ref="A1:B8"/>
  <sheetViews>
    <sheetView workbookViewId="0"/>
  </sheetViews>
  <cols>
    <col min="1" max="1" width="49" customWidth="1"/>
    <col min="2" max="2" width="24" customWidth="1"/>
  </cols>
  <sheetData>
    <row r="1" ht="26" customHeight="1">
      <c r="A1" s="1" t="inlineStr">
        <is>
          <t xml:space="preserve">Separate hypothetical scenario</t>
        </is>
      </c>
    </row>
    <row r="2" ht="51" customHeight="1">
      <c r="A2" s="8" t="inlineStr">
        <is>
          <t xml:space="preserve">Changing this sheet does not change the Budget sheet or retirement inputs. Preserve required payments; hypothetical reductions are not achieved savings.</t>
        </is>
      </c>
    </row>
    <row r="3" ht="15" customHeight="1"/>
    <row r="4" ht="15" customHeight="1">
      <c r="A4" t="inlineStr">
        <is>
          <t xml:space="preserve">Extra monthly take-home income</t>
        </is>
      </c>
      <c r="B4" s="5"/>
    </row>
    <row r="5" ht="15" customHeight="1">
      <c r="A5" t="inlineStr">
        <is>
          <t xml:space="preserve">Less monthly spending/debt payments</t>
        </is>
      </c>
      <c r="B5" s="5"/>
    </row>
    <row r="6" ht="15" customHeight="1">
      <c r="A6" t="inlineStr">
        <is>
          <t xml:space="preserve">Status</t>
        </is>
      </c>
      <c r="B6" s="0" t="str">
        <f>IF(COUNT(B4:B5)&lt;&gt;2,"Enter both inputs",IF(IFERROR(AND(B4&gt;=0,B4&lt;=1000000000,B5&gt;=0,B5&lt;=Budget!B22,AND(Budget!B26=0,COUNTIF(Budget!G5:G13,"Entered")&gt;0),ABS(B4*100-ROUND(B4*100,0))&lt;0.00001,ABS(B5*100-ROUND(B5*100,0))&lt;0.00001),FALSE()),"Ready","Correct inputs"))</f>
        <v>Enter both inputs</v>
      </c>
    </row>
    <row r="7" ht="15" customHeight="1">
      <c r="A7" t="inlineStr">
        <is>
          <t xml:space="preserve">Current remaining / shortfall</t>
        </is>
      </c>
      <c r="B7" s="3" t="str">
        <f>IF(AND(Budget!B26=0,COUNTIF(Budget!G5:G13,"Entered")&gt;0),Budget!B24,"")</f>
        <v/>
      </c>
    </row>
    <row r="8" ht="15" customHeight="1">
      <c r="A8" t="inlineStr">
        <is>
          <t xml:space="preserve">Hypothetical remaining / shortfall</t>
        </is>
      </c>
      <c r="B8" s="3" t="str">
        <f>IF(B6="Ready",B7+B4+B5,"")</f>
        <v/>
      </c>
    </row>
  </sheetData>
  <mergeCells count="2">
    <mergeCell ref="A1:B1"/>
    <mergeCell ref="A2:B2"/>
  </mergeCells>
</worksheet>
</file>

<file path=xl/worksheets/sheet4.xml><?xml version="1.0" encoding="utf-8"?>
<worksheet xmlns="http://schemas.openxmlformats.org/spreadsheetml/2006/main">
  <dimension ref="A1:C8"/>
  <sheetViews>
    <sheetView workbookViewId="0"/>
  </sheetViews>
  <cols>
    <col min="1" max="1" width="38" customWidth="1"/>
    <col min="2" max="2" width="28" customWidth="1"/>
    <col min="3" max="3" width="80" customWidth="1"/>
  </cols>
  <sheetData>
    <row r="1" ht="26" customHeight="1">
      <c r="A1" s="1" t="inlineStr">
        <is>
          <t xml:space="preserve">Guidance at export</t>
        </is>
      </c>
    </row>
    <row r="2" ht="36" customHeight="1">
      <c r="A2" s="8" t="inlineStr">
        <is>
          <t xml:space="preserve">This sheet is a dated snapshot of the web tool’s educational targets. It does not recalculate after workbook edits. Return to the calculator for refreshed classifications and comparisons.</t>
        </is>
      </c>
    </row>
    <row r="3" ht="15" customHeight="1">
      <c r="A3" t="inlineStr">
        <is>
          <t xml:space="preserve">Policy</t>
        </is>
      </c>
      <c r="B3" t="inlineStr">
        <is>
          <t xml:space="preserve">Not included</t>
        </is>
      </c>
    </row>
    <row r="4" ht="15" customHeight="1">
      <c r="A4" t="inlineStr">
        <is>
          <t xml:space="preserve">Exported at</t>
        </is>
      </c>
      <c r="B4" t="inlineStr">
        <is>
          <t xml:space="preserve">2026-10-25T00:00:00.000Z</t>
        </is>
      </c>
    </row>
    <row r="5" ht="15" customHeight="1"/>
    <row r="6" ht="42" customHeight="1">
      <c r="A6" s="2" t="inlineStr">
        <is>
          <t xml:space="preserve">Group</t>
        </is>
      </c>
      <c r="B6" s="2" t="inlineStr">
        <is>
          <t xml:space="preserve">Target % (as entered)</t>
        </is>
      </c>
      <c r="C6" s="2" t="inlineStr">
        <is>
          <t xml:space="preserve">Meaning</t>
        </is>
      </c>
    </row>
    <row r="7" ht="15" customHeight="1"/>
    <row r="8" ht="36" customHeight="1">
      <c r="A8" s="8" t="inlineStr">
        <is>
          <t xml:space="preserve">Car payments are included in total transport. Groups overlap and must not be added together. Classifications are chosen by the reader, not inferred from descriptions.</t>
        </is>
      </c>
    </row>
  </sheetData>
  <mergeCells count="3">
    <mergeCell ref="A1:C1"/>
    <mergeCell ref="A2:C2"/>
    <mergeCell ref="A8:C8"/>
  </mergeCells>
</worksheet>
</file>

<file path=xl/worksheets/sheet5.xml><?xml version="1.0" encoding="utf-8"?>
<worksheet xmlns="http://schemas.openxmlformats.org/spreadsheetml/2006/main">
  <dimension ref="A1:I372"/>
  <sheetViews>
    <sheetView workbookViewId="0">
      <pane ySplit="5" topLeftCell="A6" activePane="bottomLeft" state="frozen"/>
    </sheetView>
  </sheetViews>
  <cols>
    <col min="1" max="1" width="31" customWidth="1"/>
    <col min="2" max="2" width="24" customWidth="1"/>
    <col min="3" max="3" width="30" customWidth="1"/>
    <col min="4" max="4" width="25" customWidth="1"/>
    <col min="5" max="5" width="25" customWidth="1"/>
    <col min="6" max="6" width="26" customWidth="1"/>
    <col min="7" max="7" width="25" customWidth="1"/>
    <col min="8" max="8" width="25" customWidth="1"/>
    <col min="9" max="9" width="29" customWidth="1"/>
  </cols>
  <sheetData>
    <row r="1" ht="26" customHeight="1">
      <c r="A1" s="1" t="inlineStr">
        <is>
          <t xml:space="preserve">Retirement scenarios — editable assumptions</t>
        </is>
      </c>
    </row>
    <row r="2" ht="21" customHeight="1">
      <c r="A2" s="8" t="inlineStr">
        <is>
          <t xml:space="preserve">Private financial inputs stay in this downloaded workbook. Store it privately; sharing the file shares your entries.</t>
        </is>
      </c>
    </row>
    <row r="3" ht="15" customHeight="1">
      <c r="A3" t="inlineStr">
        <is>
          <t xml:space="preserve">Exported at</t>
        </is>
      </c>
      <c r="B3" s="0" t="inlineStr">
        <is>
          <t xml:space="preserve">2026-10-25T00:00:00.000Z</t>
        </is>
      </c>
    </row>
    <row r="4" ht="21" customHeight="1">
      <c r="A4" s="8" t="inlineStr">
        <is>
          <t xml:space="preserve">Complete the blue inputs; enter 0 for a known zero. Percent cells accept values such as 3%. No personal ages, assets or return assumptions are prefilled.</t>
        </is>
      </c>
    </row>
    <row r="5" ht="42" customHeight="1">
      <c r="A5" s="2" t="inlineStr">
        <is>
          <t xml:space="preserve">Assumption</t>
        </is>
      </c>
      <c r="B5" s="2" t="inlineStr">
        <is>
          <t xml:space="preserve">Editable value</t>
        </is>
      </c>
      <c r="C5" s="2" t="inlineStr">
        <is>
          <t xml:space="preserve">Units and meaning</t>
        </is>
      </c>
    </row>
    <row r="6" ht="36" customHeight="1">
      <c r="A6" t="inlineStr">
        <is>
          <t xml:space="preserve">Current age</t>
        </is>
      </c>
      <c r="B6" s="6"/>
      <c r="C6" s="8" t="inlineStr">
        <is>
          <t xml:space="preserve">Whole age at the starting birthday, 0–109.</t>
        </is>
      </c>
    </row>
    <row r="7" ht="66" customHeight="1">
      <c r="A7" t="inlineStr">
        <is>
          <t xml:space="preserve">Retirement age</t>
        </is>
      </c>
      <c r="B7" s="6"/>
      <c r="C7" s="8" t="inlineStr">
        <is>
          <t xml:space="preserve">Whole age when contributions stop and retirement spending begins; at least current age.</t>
        </is>
      </c>
    </row>
    <row r="8" ht="66" customHeight="1">
      <c r="A8" t="inlineStr">
        <is>
          <t xml:space="preserve">Projection end age</t>
        </is>
      </c>
      <c r="B8" s="6"/>
      <c r="C8" s="8" t="inlineStr">
        <is>
          <t xml:space="preserve">Whole age after retirement age, up to 110. This is your horizon assumption, not a longevity estimate.</t>
        </is>
      </c>
    </row>
    <row r="9" ht="51" customHeight="1">
      <c r="A9" t="inlineStr">
        <is>
          <t xml:space="preserve">Current retirement investments</t>
        </is>
      </c>
      <c r="B9" s="5"/>
      <c r="C9" s="8" t="inlineStr">
        <is>
          <t xml:space="preserve">Today's USD. Include only assets available for this scenario.</t>
        </is>
      </c>
    </row>
    <row r="10" ht="81" customHeight="1">
      <c r="A10" t="inlineStr">
        <is>
          <t xml:space="preserve">Monthly personal contribution</t>
        </is>
      </c>
      <c r="B10" s="5"/>
      <c r="C10" s="8" t="inlineStr">
        <is>
          <t xml:space="preserve">Today's USD, through the year before retirement. Enter 0 if none; do not count payroll deductions twice.</t>
        </is>
      </c>
    </row>
    <row r="11" ht="66" customHeight="1">
      <c r="A11" t="inlineStr">
        <is>
          <t xml:space="preserve">Monthly employer contribution</t>
        </is>
      </c>
      <c r="B11" s="5"/>
      <c r="C11" s="8" t="inlineStr">
        <is>
          <t xml:space="preserve">Today's USD, through the year before retirement. Enter only expected eligible/vested amounts, or 0.</t>
        </is>
      </c>
    </row>
    <row r="12" ht="66" customHeight="1">
      <c r="A12" t="inlineStr">
        <is>
          <t xml:space="preserve">Monthly retirement spending</t>
        </is>
      </c>
      <c r="B12" s="5"/>
      <c r="C12" s="8" t="inlineStr">
        <is>
          <t xml:space="preserve">Today's USD. Enter expected retirement spending, including taxes/health costs you expect to pay.</t>
        </is>
      </c>
    </row>
    <row r="13" ht="81" customHeight="1">
      <c r="A13" t="inlineStr">
        <is>
          <t xml:space="preserve">Monthly pension income</t>
        </is>
      </c>
      <c r="B13" s="5"/>
      <c r="C13" s="8" t="inlineStr">
        <is>
          <t xml:space="preserve">Today's USD after any income taxes; enter 0 if none. Constant purchasing power is assumed once it starts.</t>
        </is>
      </c>
    </row>
    <row r="14" ht="66" customHeight="1">
      <c r="A14" t="inlineStr">
        <is>
          <t xml:space="preserve">Pension start age</t>
        </is>
      </c>
      <c r="B14" s="6"/>
      <c r="C14" s="8" t="inlineStr">
        <is>
          <t xml:space="preserve">Whole age 0–110; required only when pension income is positive. Retirement-period income only.</t>
        </is>
      </c>
    </row>
    <row r="15" ht="81" customHeight="1">
      <c r="A15" t="inlineStr">
        <is>
          <t xml:space="preserve">Monthly benefit income</t>
        </is>
      </c>
      <c r="B15" s="5"/>
      <c r="C15" s="8" t="inlineStr">
        <is>
          <t xml:space="preserve">Today's USD after income taxes; enter 0 if none. Use your own estimate, not a presumed government entitlement.</t>
        </is>
      </c>
    </row>
    <row r="16" ht="66" customHeight="1">
      <c r="A16" t="inlineStr">
        <is>
          <t xml:space="preserve">Benefit start age</t>
        </is>
      </c>
      <c r="B16" s="6"/>
      <c r="C16" s="8" t="inlineStr">
        <is>
          <t xml:space="preserve">Whole age 0–110; required only when benefit income is positive. Retirement-period income only.</t>
        </is>
      </c>
    </row>
    <row r="17" ht="51" customHeight="1">
      <c r="A17" t="inlineStr">
        <is>
          <t xml:space="preserve">Annual inflation assumption</t>
        </is>
      </c>
      <c r="B17" s="7"/>
      <c r="C17" s="8" t="inlineStr">
        <is>
          <t xml:space="preserve">Decimal rate displayed as percent; supported range -50% to 100%.</t>
        </is>
      </c>
    </row>
    <row r="18" ht="81" customHeight="1">
      <c r="A18" t="inlineStr">
        <is>
          <t xml:space="preserve">Annual investment fee</t>
        </is>
      </c>
      <c r="B18" s="7"/>
      <c r="C18" s="8" t="inlineStr">
        <is>
          <t xml:space="preserve">Decimal rate displayed as percent; at least 0% and less than 100%; applied to each year's post-return assets.</t>
        </is>
      </c>
    </row>
    <row r="19" ht="66" customHeight="1">
      <c r="A19" t="inlineStr">
        <is>
          <t xml:space="preserve">Conservative nominal return</t>
        </is>
      </c>
      <c r="B19" s="7"/>
      <c r="C19" s="8" t="inlineStr">
        <is>
          <t xml:space="preserve">Before fees/inflation; -99% to 100%. A user-defined scenario, not a probability or forecast.</t>
        </is>
      </c>
    </row>
    <row r="20" ht="51" customHeight="1">
      <c r="A20" t="inlineStr">
        <is>
          <t xml:space="preserve">Base nominal return</t>
        </is>
      </c>
      <c r="B20" s="7"/>
      <c r="C20" s="8" t="inlineStr">
        <is>
          <t xml:space="preserve">At least conservative return; no more than optimistic return.</t>
        </is>
      </c>
    </row>
    <row r="21" ht="66" customHeight="1">
      <c r="A21" t="inlineStr">
        <is>
          <t xml:space="preserve">Optimistic nominal return</t>
        </is>
      </c>
      <c r="B21" s="7"/>
      <c r="C21" s="8" t="inlineStr">
        <is>
          <t xml:space="preserve">At least base return; no more than 100%. Scenario names do not establish investment likelihood.</t>
        </is>
      </c>
    </row>
    <row r="22" ht="15" customHeight="1">
      <c r="A22" t="inlineStr">
        <is>
          <t xml:space="preserve">Input status</t>
        </is>
      </c>
      <c r="B22" s="0">
        <f>IFERROR(IF(AND(COUNT(B6,B7,B8,B9,B10,B11,B12,B13,B15,B17,B18,B19,B20,B21)=14,B6=INT(B6),B6&gt;=0,B6&lt;=110,B7=INT(B7),B7&gt;=0,B7&lt;=110,B8=INT(B8),B8&gt;=0,B8&lt;=110,B6&lt;=B7,B7&lt;B8,B9&gt;=0,B9&lt;=1000000000000,B10&gt;=0,B10&lt;=1000000000000,B11&gt;=0,B11&lt;=1000000000000,B12&gt;=0,B12&lt;=1000000000000,B13&gt;=0,B13&lt;=1000000000000,B15&gt;=0,B15&lt;=1000000000000,IF(B13=0,TRUE(),AND(ISNUMBER(B14),B14=INT(B14),B14&gt;=0,B14&lt;=110)),IF(B15=0,TRUE(),AND(ISNUMBER(B16),B16=INT(B16),B16&gt;=0,B16&lt;=110)),B17&gt;=-0.5,B17&lt;=1,B18&gt;=0,B18&lt;1,B19&gt;=-0.99,B21&lt;=1,B19&lt;=B20,B20&lt;=B21),"Ready","Complete or correct the blue inputs"),"Complete or correct the blue inputs")</f>
      </c>
    </row>
    <row r="23" ht="15" customHeight="1">
      <c r="A23" t="inlineStr">
        <is>
          <t xml:space="preserve">Model version</t>
        </is>
      </c>
      <c r="B23" t="inlineStr">
        <is>
          <t xml:space="preserve">dtp-retirement-annual-real-1.1</t>
        </is>
      </c>
    </row>
    <row r="24" ht="36" customHeight="1">
      <c r="A24" s="8" t="inlineStr">
        <is>
          <t xml:space="preserve">Outputs use today's purchasing power. Real return = (1 + nominal return) × (1 − fee) ÷ (1 + inflation) − 1. Contributions, spending, pensions and benefits keep pace with inflation; fixed nominal payments require a different model.</t>
        </is>
      </c>
    </row>
    <row r="25" ht="36" customHeight="1">
      <c r="A25" s="8" t="inlineStr">
        <is>
          <t xml:space="preserve">Cash flows occur at year end, after investment growth. No contributions after retirement. Income above spending is not reinvested. Investment balances stop at zero and retain calculation precision; annual unmet spending is recorded separately, rounded to cents.</t>
        </is>
      </c>
    </row>
    <row r="26" ht="42" customHeight="1">
      <c r="A26" s="2" t="inlineStr">
        <is>
          <t xml:space="preserve">Scenario</t>
        </is>
      </c>
      <c r="B26" s="2" t="inlineStr">
        <is>
          <t xml:space="preserve">Real return</t>
        </is>
      </c>
      <c r="C26" s="2" t="inlineStr">
        <is>
          <t xml:space="preserve">Investments at retirement</t>
        </is>
      </c>
      <c r="D26" s="2" t="inlineStr">
        <is>
          <t xml:space="preserve">Annual retirement spending</t>
        </is>
      </c>
      <c r="E26" s="2" t="inlineStr">
        <is>
          <t xml:space="preserve">Income at retirement</t>
        </is>
      </c>
      <c r="F26" s="2" t="inlineStr">
        <is>
          <t xml:space="preserve">First retirement-year draw</t>
        </is>
      </c>
      <c r="G26" s="2" t="inlineStr">
        <is>
          <t xml:space="preserve">Investments at end age</t>
        </is>
      </c>
      <c r="H26" s="2" t="inlineStr">
        <is>
          <t xml:space="preserve">Total unfunded spending</t>
        </is>
      </c>
      <c r="I26" s="2" t="inlineStr">
        <is>
          <t xml:space="preserve">First unfunded year-end age</t>
        </is>
      </c>
    </row>
    <row r="27" ht="15" customHeight="1">
      <c r="A27" t="inlineStr">
        <is>
          <t xml:space="preserve">Conservative</t>
        </is>
      </c>
      <c r="B27" s="4">
        <f>IF($B$22&lt;&gt;"Ready","",(1+$B$19)*(1-$B$18)/(1+$B$17)-1)</f>
      </c>
      <c r="C27" s="3">
        <f>IF($B$22&lt;&gt;"Ready","",IF($B$7=$B$6,$B$9,INDEX($G$37:$G$146,$B$7-$B$6)))</f>
      </c>
      <c r="D27" s="3">
        <f>IF($B$22&lt;&gt;"Ready","",12*$B$12)</f>
      </c>
      <c r="E27" s="3">
        <f>IF($B$22&lt;&gt;"Ready","",12*(IF($B$13&gt;0,IF($B$7&gt;=$B$14,$B$13,0),0)+IF($B$15&gt;0,IF($B$7&gt;=$B$16,$B$15,0),0)))</f>
      </c>
      <c r="F27" s="3">
        <f>IF($B$22&lt;&gt;"Ready","",MAX(0,D27-E27))</f>
      </c>
      <c r="G27" s="3">
        <f>IF($B$22&lt;&gt;"Ready","",INDEX($G$37:$G$146,$B$8-$B$6))</f>
      </c>
      <c r="H27" s="3">
        <f>IF($B$22&lt;&gt;"Ready","",SUM($H$37:$H$146))</f>
      </c>
      <c r="I27" s="0">
        <f>IF($B$22&lt;&gt;"Ready","",IF(INDEX($I$37:$I$146,$B$8-$B$6)="","None within horizon",INDEX($I$37:$I$146,$B$8-$B$6)))</f>
      </c>
    </row>
    <row r="28" ht="15" customHeight="1">
      <c r="A28" t="inlineStr">
        <is>
          <t xml:space="preserve">Base</t>
        </is>
      </c>
      <c r="B28" s="4">
        <f>IF($B$22&lt;&gt;"Ready","",(1+$B$20)*(1-$B$18)/(1+$B$17)-1)</f>
      </c>
      <c r="C28" s="3">
        <f>IF($B$22&lt;&gt;"Ready","",IF($B$7=$B$6,$B$9,INDEX($G$150:$G$259,$B$7-$B$6)))</f>
      </c>
      <c r="D28" s="3">
        <f>IF($B$22&lt;&gt;"Ready","",12*$B$12)</f>
      </c>
      <c r="E28" s="3">
        <f>IF($B$22&lt;&gt;"Ready","",12*(IF($B$13&gt;0,IF($B$7&gt;=$B$14,$B$13,0),0)+IF($B$15&gt;0,IF($B$7&gt;=$B$16,$B$15,0),0)))</f>
      </c>
      <c r="F28" s="3">
        <f>IF($B$22&lt;&gt;"Ready","",MAX(0,D28-E28))</f>
      </c>
      <c r="G28" s="3">
        <f>IF($B$22&lt;&gt;"Ready","",INDEX($G$150:$G$259,$B$8-$B$6))</f>
      </c>
      <c r="H28" s="3">
        <f>IF($B$22&lt;&gt;"Ready","",SUM($H$150:$H$259))</f>
      </c>
      <c r="I28" s="0">
        <f>IF($B$22&lt;&gt;"Ready","",IF(INDEX($I$150:$I$259,$B$8-$B$6)="","None within horizon",INDEX($I$150:$I$259,$B$8-$B$6)))</f>
      </c>
    </row>
    <row r="29" ht="15" customHeight="1">
      <c r="A29" t="inlineStr">
        <is>
          <t xml:space="preserve">Optimistic</t>
        </is>
      </c>
      <c r="B29" s="4">
        <f>IF($B$22&lt;&gt;"Ready","",(1+$B$21)*(1-$B$18)/(1+$B$17)-1)</f>
      </c>
      <c r="C29" s="3">
        <f>IF($B$22&lt;&gt;"Ready","",IF($B$7=$B$6,$B$9,INDEX($G$263:$G$372,$B$7-$B$6)))</f>
      </c>
      <c r="D29" s="3">
        <f>IF($B$22&lt;&gt;"Ready","",12*$B$12)</f>
      </c>
      <c r="E29" s="3">
        <f>IF($B$22&lt;&gt;"Ready","",12*(IF($B$13&gt;0,IF($B$7&gt;=$B$14,$B$13,0),0)+IF($B$15&gt;0,IF($B$7&gt;=$B$16,$B$15,0),0)))</f>
      </c>
      <c r="F29" s="3">
        <f>IF($B$22&lt;&gt;"Ready","",MAX(0,D29-E29))</f>
      </c>
      <c r="G29" s="3">
        <f>IF($B$22&lt;&gt;"Ready","",INDEX($G$263:$G$372,$B$8-$B$6))</f>
      </c>
      <c r="H29" s="3">
        <f>IF($B$22&lt;&gt;"Ready","",SUM($H$263:$H$372))</f>
      </c>
      <c r="I29" s="0">
        <f>IF($B$22&lt;&gt;"Ready","",IF(INDEX($I$263:$I$372,$B$8-$B$6)="","None within horizon",INDEX($I$263:$I$372,$B$8-$B$6)))</f>
      </c>
    </row>
    <row r="30" ht="36" customHeight="1">
      <c r="A30" s="8" t="inlineStr">
        <is>
          <t xml:space="preserve">Retirement balance is measured at the retirement birthday, before that year's spending. First unfunded age is the end of a modeled year, not an exact depletion date. 'None within horizon' does not mean safe retirement or funding beyond the chosen end age.</t>
        </is>
      </c>
    </row>
    <row r="31" ht="36" customHeight="1">
      <c r="A31" s="8" t="inlineStr">
        <is>
          <t xml:space="preserve">These constant-return scenarios omit market volatility/sequence risk, variable spending, changing employment, contribution limits, tax-account rules, early-withdrawal penalties and investment taxes. Include expected withdrawal taxes in spending and use after-tax pensions/benefits; obtain separate advice for account-specific tax treatment.</t>
        </is>
      </c>
    </row>
    <row r="32" ht="36" customHeight="1">
      <c r="A32" s="8" t="inlineStr">
        <is>
          <t xml:space="preserve">Missing inputs suppress estimates. A true zero must be entered as 0. Changes to the workbook do not update your website budget or any account. The worksheet does not recommend an investment, withdrawal rate or retirement age.</t>
        </is>
      </c>
    </row>
    <row r="33" ht="21" customHeight="1">
      <c r="A33" s="8" t="inlineStr">
        <is>
          <t xml:space="preserve">Amounts are estimates before unknown life events, care costs and policy changes. Money beyond the selected horizon is not modeled. No investment action or account connection is performed.</t>
        </is>
      </c>
    </row>
    <row r="34" ht="15" customHeight="1"/>
    <row r="35" ht="26" customHeight="1">
      <c r="A35" s="1" t="inlineStr">
        <is>
          <t xml:space="preserve">Conservative annual timeline — all amounts in today's USD</t>
        </is>
      </c>
    </row>
    <row r="36" ht="42" customHeight="1">
      <c r="A36" s="2" t="inlineStr">
        <is>
          <t xml:space="preserve">Age at start</t>
        </is>
      </c>
      <c r="B36" s="2" t="inlineStr">
        <is>
          <t xml:space="preserve">Opening investments</t>
        </is>
      </c>
      <c r="C36" s="2" t="inlineStr">
        <is>
          <t xml:space="preserve">Contribution</t>
        </is>
      </c>
      <c r="D36" s="2" t="inlineStr">
        <is>
          <t xml:space="preserve">Pension + benefits</t>
        </is>
      </c>
      <c r="E36" s="2" t="inlineStr">
        <is>
          <t xml:space="preserve">Retirement spending</t>
        </is>
      </c>
      <c r="F36" s="2" t="inlineStr">
        <is>
          <t xml:space="preserve">Portfolio draw</t>
        </is>
      </c>
      <c r="G36" s="2" t="inlineStr">
        <is>
          <t xml:space="preserve">Closing investments</t>
        </is>
      </c>
      <c r="H36" s="2" t="inlineStr">
        <is>
          <t xml:space="preserve">Unfunded spending</t>
        </is>
      </c>
      <c r="I36" s="2" t="inlineStr">
        <is>
          <t xml:space="preserve">First gap age so far</t>
        </is>
      </c>
    </row>
    <row r="37" ht="15" customHeight="1">
      <c r="A37" s="0">
        <f>IF($B$22&lt;&gt;"Ready","",IF($B$6+0&gt;=$B$8,"",$B$6+0))</f>
      </c>
      <c r="B37" s="3">
        <f>IF($B$22&lt;&gt;"Ready","",IF($B$6+0&gt;=$B$8,"",$B$9))</f>
      </c>
      <c r="C37" s="3">
        <f>IF($B$22&lt;&gt;"Ready","",IF($B$6+0&gt;=$B$8,"",IF(A37&lt;$B$7,12*($B$10+$B$11),0)))</f>
      </c>
      <c r="D37" s="3">
        <f>IF($B$22&lt;&gt;"Ready","",IF($B$6+0&gt;=$B$8,"",IF(A37&lt;$B$7,0,12*(IF($B$13&gt;0,IF(A37&gt;=$B$14,$B$13,0),0)+IF($B$15&gt;0,IF(A37&gt;=$B$16,$B$15,0),0)))))</f>
      </c>
      <c r="E37" s="3">
        <f>IF($B$22&lt;&gt;"Ready","",IF($B$6+0&gt;=$B$8,"",IF(A37&lt;$B$7,0,12*$B$12)))</f>
      </c>
      <c r="F37" s="3">
        <f>IF($B$22&lt;&gt;"Ready","",IF($B$6+0&gt;=$B$8,"",MAX(0,E37-D37)))</f>
      </c>
      <c r="G37" s="3">
        <f>IF($B$22&lt;&gt;"Ready","",IF($B$6+0&gt;=$B$8,"",MAX(0,B37*(1+$B$27)+C37-F37)))</f>
      </c>
      <c r="H37" s="3">
        <f>IF($B$22&lt;&gt;"Ready","",IF($B$6+0&gt;=$B$8,"",ROUND(IF(ABS((MAX(0,F37-(B37*(1+$B$27)+C37))*100)-(INT(MAX(0,F37-(B37*(1+$B$27)+C37))*100)+0.5))&lt;=MIN(0.0000001,4*2.220446049250313E-16*MAX(1,ABS(F37),ABS(B37*(1+$B$27)+C37))*100),(INT(MAX(0,F37-(B37*(1+$B$27)+C37))*100)+0.5),MAX(0,F37-(B37*(1+$B$27)+C37))*100),0)/100))</f>
      </c>
      <c r="I37" s="0">
        <f>IF($B$22&lt;&gt;"Ready","",IF($B$6+0&gt;=$B$8,"",IF(H37&gt;0,A37+1,"")))</f>
      </c>
    </row>
    <row r="38" ht="15" customHeight="1">
      <c r="A38" s="0">
        <f>IF($B$22&lt;&gt;"Ready","",IF($B$6+1&gt;=$B$8,"",$B$6+1))</f>
      </c>
      <c r="B38" s="3">
        <f>IF($B$22&lt;&gt;"Ready","",IF($B$6+1&gt;=$B$8,"",G37))</f>
      </c>
      <c r="C38" s="3">
        <f>IF($B$22&lt;&gt;"Ready","",IF($B$6+1&gt;=$B$8,"",IF(A38&lt;$B$7,12*($B$10+$B$11),0)))</f>
      </c>
      <c r="D38" s="3">
        <f>IF($B$22&lt;&gt;"Ready","",IF($B$6+1&gt;=$B$8,"",IF(A38&lt;$B$7,0,12*(IF($B$13&gt;0,IF(A38&gt;=$B$14,$B$13,0),0)+IF($B$15&gt;0,IF(A38&gt;=$B$16,$B$15,0),0)))))</f>
      </c>
      <c r="E38" s="3">
        <f>IF($B$22&lt;&gt;"Ready","",IF($B$6+1&gt;=$B$8,"",IF(A38&lt;$B$7,0,12*$B$12)))</f>
      </c>
      <c r="F38" s="3">
        <f>IF($B$22&lt;&gt;"Ready","",IF($B$6+1&gt;=$B$8,"",MAX(0,E38-D38)))</f>
      </c>
      <c r="G38" s="3">
        <f>IF($B$22&lt;&gt;"Ready","",IF($B$6+1&gt;=$B$8,"",MAX(0,B38*(1+$B$27)+C38-F38)))</f>
      </c>
      <c r="H38" s="3">
        <f>IF($B$22&lt;&gt;"Ready","",IF($B$6+1&gt;=$B$8,"",ROUND(IF(ABS((MAX(0,F38-(B38*(1+$B$27)+C38))*100)-(INT(MAX(0,F38-(B38*(1+$B$27)+C38))*100)+0.5))&lt;=MIN(0.0000001,4*2.220446049250313E-16*MAX(1,ABS(F38),ABS(B38*(1+$B$27)+C38))*100),(INT(MAX(0,F38-(B38*(1+$B$27)+C38))*100)+0.5),MAX(0,F38-(B38*(1+$B$27)+C38))*100),0)/100))</f>
      </c>
      <c r="I38" s="0">
        <f>IF($B$22&lt;&gt;"Ready","",IF($B$6+1&gt;=$B$8,"",IF(I37&lt;&gt;"",I37,IF(H38&gt;0,A38+1,""))))</f>
      </c>
    </row>
    <row r="39" ht="15" customHeight="1">
      <c r="A39" s="0">
        <f>IF($B$22&lt;&gt;"Ready","",IF($B$6+2&gt;=$B$8,"",$B$6+2))</f>
      </c>
      <c r="B39" s="3">
        <f>IF($B$22&lt;&gt;"Ready","",IF($B$6+2&gt;=$B$8,"",G38))</f>
      </c>
      <c r="C39" s="3">
        <f>IF($B$22&lt;&gt;"Ready","",IF($B$6+2&gt;=$B$8,"",IF(A39&lt;$B$7,12*($B$10+$B$11),0)))</f>
      </c>
      <c r="D39" s="3">
        <f>IF($B$22&lt;&gt;"Ready","",IF($B$6+2&gt;=$B$8,"",IF(A39&lt;$B$7,0,12*(IF($B$13&gt;0,IF(A39&gt;=$B$14,$B$13,0),0)+IF($B$15&gt;0,IF(A39&gt;=$B$16,$B$15,0),0)))))</f>
      </c>
      <c r="E39" s="3">
        <f>IF($B$22&lt;&gt;"Ready","",IF($B$6+2&gt;=$B$8,"",IF(A39&lt;$B$7,0,12*$B$12)))</f>
      </c>
      <c r="F39" s="3">
        <f>IF($B$22&lt;&gt;"Ready","",IF($B$6+2&gt;=$B$8,"",MAX(0,E39-D39)))</f>
      </c>
      <c r="G39" s="3">
        <f>IF($B$22&lt;&gt;"Ready","",IF($B$6+2&gt;=$B$8,"",MAX(0,B39*(1+$B$27)+C39-F39)))</f>
      </c>
      <c r="H39" s="3">
        <f>IF($B$22&lt;&gt;"Ready","",IF($B$6+2&gt;=$B$8,"",ROUND(IF(ABS((MAX(0,F39-(B39*(1+$B$27)+C39))*100)-(INT(MAX(0,F39-(B39*(1+$B$27)+C39))*100)+0.5))&lt;=MIN(0.0000001,4*2.220446049250313E-16*MAX(1,ABS(F39),ABS(B39*(1+$B$27)+C39))*100),(INT(MAX(0,F39-(B39*(1+$B$27)+C39))*100)+0.5),MAX(0,F39-(B39*(1+$B$27)+C39))*100),0)/100))</f>
      </c>
      <c r="I39" s="0">
        <f>IF($B$22&lt;&gt;"Ready","",IF($B$6+2&gt;=$B$8,"",IF(I38&lt;&gt;"",I38,IF(H39&gt;0,A39+1,""))))</f>
      </c>
    </row>
    <row r="40" ht="15" customHeight="1">
      <c r="A40" s="0">
        <f>IF($B$22&lt;&gt;"Ready","",IF($B$6+3&gt;=$B$8,"",$B$6+3))</f>
      </c>
      <c r="B40" s="3">
        <f>IF($B$22&lt;&gt;"Ready","",IF($B$6+3&gt;=$B$8,"",G39))</f>
      </c>
      <c r="C40" s="3">
        <f>IF($B$22&lt;&gt;"Ready","",IF($B$6+3&gt;=$B$8,"",IF(A40&lt;$B$7,12*($B$10+$B$11),0)))</f>
      </c>
      <c r="D40" s="3">
        <f>IF($B$22&lt;&gt;"Ready","",IF($B$6+3&gt;=$B$8,"",IF(A40&lt;$B$7,0,12*(IF($B$13&gt;0,IF(A40&gt;=$B$14,$B$13,0),0)+IF($B$15&gt;0,IF(A40&gt;=$B$16,$B$15,0),0)))))</f>
      </c>
      <c r="E40" s="3">
        <f>IF($B$22&lt;&gt;"Ready","",IF($B$6+3&gt;=$B$8,"",IF(A40&lt;$B$7,0,12*$B$12)))</f>
      </c>
      <c r="F40" s="3">
        <f>IF($B$22&lt;&gt;"Ready","",IF($B$6+3&gt;=$B$8,"",MAX(0,E40-D40)))</f>
      </c>
      <c r="G40" s="3">
        <f>IF($B$22&lt;&gt;"Ready","",IF($B$6+3&gt;=$B$8,"",MAX(0,B40*(1+$B$27)+C40-F40)))</f>
      </c>
      <c r="H40" s="3">
        <f>IF($B$22&lt;&gt;"Ready","",IF($B$6+3&gt;=$B$8,"",ROUND(IF(ABS((MAX(0,F40-(B40*(1+$B$27)+C40))*100)-(INT(MAX(0,F40-(B40*(1+$B$27)+C40))*100)+0.5))&lt;=MIN(0.0000001,4*2.220446049250313E-16*MAX(1,ABS(F40),ABS(B40*(1+$B$27)+C40))*100),(INT(MAX(0,F40-(B40*(1+$B$27)+C40))*100)+0.5),MAX(0,F40-(B40*(1+$B$27)+C40))*100),0)/100))</f>
      </c>
      <c r="I40" s="0">
        <f>IF($B$22&lt;&gt;"Ready","",IF($B$6+3&gt;=$B$8,"",IF(I39&lt;&gt;"",I39,IF(H40&gt;0,A40+1,""))))</f>
      </c>
    </row>
    <row r="41" ht="15" customHeight="1">
      <c r="A41" s="0">
        <f>IF($B$22&lt;&gt;"Ready","",IF($B$6+4&gt;=$B$8,"",$B$6+4))</f>
      </c>
      <c r="B41" s="3">
        <f>IF($B$22&lt;&gt;"Ready","",IF($B$6+4&gt;=$B$8,"",G40))</f>
      </c>
      <c r="C41" s="3">
        <f>IF($B$22&lt;&gt;"Ready","",IF($B$6+4&gt;=$B$8,"",IF(A41&lt;$B$7,12*($B$10+$B$11),0)))</f>
      </c>
      <c r="D41" s="3">
        <f>IF($B$22&lt;&gt;"Ready","",IF($B$6+4&gt;=$B$8,"",IF(A41&lt;$B$7,0,12*(IF($B$13&gt;0,IF(A41&gt;=$B$14,$B$13,0),0)+IF($B$15&gt;0,IF(A41&gt;=$B$16,$B$15,0),0)))))</f>
      </c>
      <c r="E41" s="3">
        <f>IF($B$22&lt;&gt;"Ready","",IF($B$6+4&gt;=$B$8,"",IF(A41&lt;$B$7,0,12*$B$12)))</f>
      </c>
      <c r="F41" s="3">
        <f>IF($B$22&lt;&gt;"Ready","",IF($B$6+4&gt;=$B$8,"",MAX(0,E41-D41)))</f>
      </c>
      <c r="G41" s="3">
        <f>IF($B$22&lt;&gt;"Ready","",IF($B$6+4&gt;=$B$8,"",MAX(0,B41*(1+$B$27)+C41-F41)))</f>
      </c>
      <c r="H41" s="3">
        <f>IF($B$22&lt;&gt;"Ready","",IF($B$6+4&gt;=$B$8,"",ROUND(IF(ABS((MAX(0,F41-(B41*(1+$B$27)+C41))*100)-(INT(MAX(0,F41-(B41*(1+$B$27)+C41))*100)+0.5))&lt;=MIN(0.0000001,4*2.220446049250313E-16*MAX(1,ABS(F41),ABS(B41*(1+$B$27)+C41))*100),(INT(MAX(0,F41-(B41*(1+$B$27)+C41))*100)+0.5),MAX(0,F41-(B41*(1+$B$27)+C41))*100),0)/100))</f>
      </c>
      <c r="I41" s="0">
        <f>IF($B$22&lt;&gt;"Ready","",IF($B$6+4&gt;=$B$8,"",IF(I40&lt;&gt;"",I40,IF(H41&gt;0,A41+1,""))))</f>
      </c>
    </row>
    <row r="42" ht="15" customHeight="1">
      <c r="A42" s="0">
        <f>IF($B$22&lt;&gt;"Ready","",IF($B$6+5&gt;=$B$8,"",$B$6+5))</f>
      </c>
      <c r="B42" s="3">
        <f>IF($B$22&lt;&gt;"Ready","",IF($B$6+5&gt;=$B$8,"",G41))</f>
      </c>
      <c r="C42" s="3">
        <f>IF($B$22&lt;&gt;"Ready","",IF($B$6+5&gt;=$B$8,"",IF(A42&lt;$B$7,12*($B$10+$B$11),0)))</f>
      </c>
      <c r="D42" s="3">
        <f>IF($B$22&lt;&gt;"Ready","",IF($B$6+5&gt;=$B$8,"",IF(A42&lt;$B$7,0,12*(IF($B$13&gt;0,IF(A42&gt;=$B$14,$B$13,0),0)+IF($B$15&gt;0,IF(A42&gt;=$B$16,$B$15,0),0)))))</f>
      </c>
      <c r="E42" s="3">
        <f>IF($B$22&lt;&gt;"Ready","",IF($B$6+5&gt;=$B$8,"",IF(A42&lt;$B$7,0,12*$B$12)))</f>
      </c>
      <c r="F42" s="3">
        <f>IF($B$22&lt;&gt;"Ready","",IF($B$6+5&gt;=$B$8,"",MAX(0,E42-D42)))</f>
      </c>
      <c r="G42" s="3">
        <f>IF($B$22&lt;&gt;"Ready","",IF($B$6+5&gt;=$B$8,"",MAX(0,B42*(1+$B$27)+C42-F42)))</f>
      </c>
      <c r="H42" s="3">
        <f>IF($B$22&lt;&gt;"Ready","",IF($B$6+5&gt;=$B$8,"",ROUND(IF(ABS((MAX(0,F42-(B42*(1+$B$27)+C42))*100)-(INT(MAX(0,F42-(B42*(1+$B$27)+C42))*100)+0.5))&lt;=MIN(0.0000001,4*2.220446049250313E-16*MAX(1,ABS(F42),ABS(B42*(1+$B$27)+C42))*100),(INT(MAX(0,F42-(B42*(1+$B$27)+C42))*100)+0.5),MAX(0,F42-(B42*(1+$B$27)+C42))*100),0)/100))</f>
      </c>
      <c r="I42" s="0">
        <f>IF($B$22&lt;&gt;"Ready","",IF($B$6+5&gt;=$B$8,"",IF(I41&lt;&gt;"",I41,IF(H42&gt;0,A42+1,""))))</f>
      </c>
    </row>
    <row r="43" ht="15" customHeight="1">
      <c r="A43" s="0">
        <f>IF($B$22&lt;&gt;"Ready","",IF($B$6+6&gt;=$B$8,"",$B$6+6))</f>
      </c>
      <c r="B43" s="3">
        <f>IF($B$22&lt;&gt;"Ready","",IF($B$6+6&gt;=$B$8,"",G42))</f>
      </c>
      <c r="C43" s="3">
        <f>IF($B$22&lt;&gt;"Ready","",IF($B$6+6&gt;=$B$8,"",IF(A43&lt;$B$7,12*($B$10+$B$11),0)))</f>
      </c>
      <c r="D43" s="3">
        <f>IF($B$22&lt;&gt;"Ready","",IF($B$6+6&gt;=$B$8,"",IF(A43&lt;$B$7,0,12*(IF($B$13&gt;0,IF(A43&gt;=$B$14,$B$13,0),0)+IF($B$15&gt;0,IF(A43&gt;=$B$16,$B$15,0),0)))))</f>
      </c>
      <c r="E43" s="3">
        <f>IF($B$22&lt;&gt;"Ready","",IF($B$6+6&gt;=$B$8,"",IF(A43&lt;$B$7,0,12*$B$12)))</f>
      </c>
      <c r="F43" s="3">
        <f>IF($B$22&lt;&gt;"Ready","",IF($B$6+6&gt;=$B$8,"",MAX(0,E43-D43)))</f>
      </c>
      <c r="G43" s="3">
        <f>IF($B$22&lt;&gt;"Ready","",IF($B$6+6&gt;=$B$8,"",MAX(0,B43*(1+$B$27)+C43-F43)))</f>
      </c>
      <c r="H43" s="3">
        <f>IF($B$22&lt;&gt;"Ready","",IF($B$6+6&gt;=$B$8,"",ROUND(IF(ABS((MAX(0,F43-(B43*(1+$B$27)+C43))*100)-(INT(MAX(0,F43-(B43*(1+$B$27)+C43))*100)+0.5))&lt;=MIN(0.0000001,4*2.220446049250313E-16*MAX(1,ABS(F43),ABS(B43*(1+$B$27)+C43))*100),(INT(MAX(0,F43-(B43*(1+$B$27)+C43))*100)+0.5),MAX(0,F43-(B43*(1+$B$27)+C43))*100),0)/100))</f>
      </c>
      <c r="I43" s="0">
        <f>IF($B$22&lt;&gt;"Ready","",IF($B$6+6&gt;=$B$8,"",IF(I42&lt;&gt;"",I42,IF(H43&gt;0,A43+1,""))))</f>
      </c>
    </row>
    <row r="44" ht="15" customHeight="1">
      <c r="A44" s="0">
        <f>IF($B$22&lt;&gt;"Ready","",IF($B$6+7&gt;=$B$8,"",$B$6+7))</f>
      </c>
      <c r="B44" s="3">
        <f>IF($B$22&lt;&gt;"Ready","",IF($B$6+7&gt;=$B$8,"",G43))</f>
      </c>
      <c r="C44" s="3">
        <f>IF($B$22&lt;&gt;"Ready","",IF($B$6+7&gt;=$B$8,"",IF(A44&lt;$B$7,12*($B$10+$B$11),0)))</f>
      </c>
      <c r="D44" s="3">
        <f>IF($B$22&lt;&gt;"Ready","",IF($B$6+7&gt;=$B$8,"",IF(A44&lt;$B$7,0,12*(IF($B$13&gt;0,IF(A44&gt;=$B$14,$B$13,0),0)+IF($B$15&gt;0,IF(A44&gt;=$B$16,$B$15,0),0)))))</f>
      </c>
      <c r="E44" s="3">
        <f>IF($B$22&lt;&gt;"Ready","",IF($B$6+7&gt;=$B$8,"",IF(A44&lt;$B$7,0,12*$B$12)))</f>
      </c>
      <c r="F44" s="3">
        <f>IF($B$22&lt;&gt;"Ready","",IF($B$6+7&gt;=$B$8,"",MAX(0,E44-D44)))</f>
      </c>
      <c r="G44" s="3">
        <f>IF($B$22&lt;&gt;"Ready","",IF($B$6+7&gt;=$B$8,"",MAX(0,B44*(1+$B$27)+C44-F44)))</f>
      </c>
      <c r="H44" s="3">
        <f>IF($B$22&lt;&gt;"Ready","",IF($B$6+7&gt;=$B$8,"",ROUND(IF(ABS((MAX(0,F44-(B44*(1+$B$27)+C44))*100)-(INT(MAX(0,F44-(B44*(1+$B$27)+C44))*100)+0.5))&lt;=MIN(0.0000001,4*2.220446049250313E-16*MAX(1,ABS(F44),ABS(B44*(1+$B$27)+C44))*100),(INT(MAX(0,F44-(B44*(1+$B$27)+C44))*100)+0.5),MAX(0,F44-(B44*(1+$B$27)+C44))*100),0)/100))</f>
      </c>
      <c r="I44" s="0">
        <f>IF($B$22&lt;&gt;"Ready","",IF($B$6+7&gt;=$B$8,"",IF(I43&lt;&gt;"",I43,IF(H44&gt;0,A44+1,""))))</f>
      </c>
    </row>
    <row r="45" ht="15" customHeight="1">
      <c r="A45" s="0">
        <f>IF($B$22&lt;&gt;"Ready","",IF($B$6+8&gt;=$B$8,"",$B$6+8))</f>
      </c>
      <c r="B45" s="3">
        <f>IF($B$22&lt;&gt;"Ready","",IF($B$6+8&gt;=$B$8,"",G44))</f>
      </c>
      <c r="C45" s="3">
        <f>IF($B$22&lt;&gt;"Ready","",IF($B$6+8&gt;=$B$8,"",IF(A45&lt;$B$7,12*($B$10+$B$11),0)))</f>
      </c>
      <c r="D45" s="3">
        <f>IF($B$22&lt;&gt;"Ready","",IF($B$6+8&gt;=$B$8,"",IF(A45&lt;$B$7,0,12*(IF($B$13&gt;0,IF(A45&gt;=$B$14,$B$13,0),0)+IF($B$15&gt;0,IF(A45&gt;=$B$16,$B$15,0),0)))))</f>
      </c>
      <c r="E45" s="3">
        <f>IF($B$22&lt;&gt;"Ready","",IF($B$6+8&gt;=$B$8,"",IF(A45&lt;$B$7,0,12*$B$12)))</f>
      </c>
      <c r="F45" s="3">
        <f>IF($B$22&lt;&gt;"Ready","",IF($B$6+8&gt;=$B$8,"",MAX(0,E45-D45)))</f>
      </c>
      <c r="G45" s="3">
        <f>IF($B$22&lt;&gt;"Ready","",IF($B$6+8&gt;=$B$8,"",MAX(0,B45*(1+$B$27)+C45-F45)))</f>
      </c>
      <c r="H45" s="3">
        <f>IF($B$22&lt;&gt;"Ready","",IF($B$6+8&gt;=$B$8,"",ROUND(IF(ABS((MAX(0,F45-(B45*(1+$B$27)+C45))*100)-(INT(MAX(0,F45-(B45*(1+$B$27)+C45))*100)+0.5))&lt;=MIN(0.0000001,4*2.220446049250313E-16*MAX(1,ABS(F45),ABS(B45*(1+$B$27)+C45))*100),(INT(MAX(0,F45-(B45*(1+$B$27)+C45))*100)+0.5),MAX(0,F45-(B45*(1+$B$27)+C45))*100),0)/100))</f>
      </c>
      <c r="I45" s="0">
        <f>IF($B$22&lt;&gt;"Ready","",IF($B$6+8&gt;=$B$8,"",IF(I44&lt;&gt;"",I44,IF(H45&gt;0,A45+1,""))))</f>
      </c>
    </row>
    <row r="46" ht="15" customHeight="1">
      <c r="A46" s="0">
        <f>IF($B$22&lt;&gt;"Ready","",IF($B$6+9&gt;=$B$8,"",$B$6+9))</f>
      </c>
      <c r="B46" s="3">
        <f>IF($B$22&lt;&gt;"Ready","",IF($B$6+9&gt;=$B$8,"",G45))</f>
      </c>
      <c r="C46" s="3">
        <f>IF($B$22&lt;&gt;"Ready","",IF($B$6+9&gt;=$B$8,"",IF(A46&lt;$B$7,12*($B$10+$B$11),0)))</f>
      </c>
      <c r="D46" s="3">
        <f>IF($B$22&lt;&gt;"Ready","",IF($B$6+9&gt;=$B$8,"",IF(A46&lt;$B$7,0,12*(IF($B$13&gt;0,IF(A46&gt;=$B$14,$B$13,0),0)+IF($B$15&gt;0,IF(A46&gt;=$B$16,$B$15,0),0)))))</f>
      </c>
      <c r="E46" s="3">
        <f>IF($B$22&lt;&gt;"Ready","",IF($B$6+9&gt;=$B$8,"",IF(A46&lt;$B$7,0,12*$B$12)))</f>
      </c>
      <c r="F46" s="3">
        <f>IF($B$22&lt;&gt;"Ready","",IF($B$6+9&gt;=$B$8,"",MAX(0,E46-D46)))</f>
      </c>
      <c r="G46" s="3">
        <f>IF($B$22&lt;&gt;"Ready","",IF($B$6+9&gt;=$B$8,"",MAX(0,B46*(1+$B$27)+C46-F46)))</f>
      </c>
      <c r="H46" s="3">
        <f>IF($B$22&lt;&gt;"Ready","",IF($B$6+9&gt;=$B$8,"",ROUND(IF(ABS((MAX(0,F46-(B46*(1+$B$27)+C46))*100)-(INT(MAX(0,F46-(B46*(1+$B$27)+C46))*100)+0.5))&lt;=MIN(0.0000001,4*2.220446049250313E-16*MAX(1,ABS(F46),ABS(B46*(1+$B$27)+C46))*100),(INT(MAX(0,F46-(B46*(1+$B$27)+C46))*100)+0.5),MAX(0,F46-(B46*(1+$B$27)+C46))*100),0)/100))</f>
      </c>
      <c r="I46" s="0">
        <f>IF($B$22&lt;&gt;"Ready","",IF($B$6+9&gt;=$B$8,"",IF(I45&lt;&gt;"",I45,IF(H46&gt;0,A46+1,""))))</f>
      </c>
    </row>
    <row r="47" ht="15" customHeight="1">
      <c r="A47" s="0">
        <f>IF($B$22&lt;&gt;"Ready","",IF($B$6+10&gt;=$B$8,"",$B$6+10))</f>
      </c>
      <c r="B47" s="3">
        <f>IF($B$22&lt;&gt;"Ready","",IF($B$6+10&gt;=$B$8,"",G46))</f>
      </c>
      <c r="C47" s="3">
        <f>IF($B$22&lt;&gt;"Ready","",IF($B$6+10&gt;=$B$8,"",IF(A47&lt;$B$7,12*($B$10+$B$11),0)))</f>
      </c>
      <c r="D47" s="3">
        <f>IF($B$22&lt;&gt;"Ready","",IF($B$6+10&gt;=$B$8,"",IF(A47&lt;$B$7,0,12*(IF($B$13&gt;0,IF(A47&gt;=$B$14,$B$13,0),0)+IF($B$15&gt;0,IF(A47&gt;=$B$16,$B$15,0),0)))))</f>
      </c>
      <c r="E47" s="3">
        <f>IF($B$22&lt;&gt;"Ready","",IF($B$6+10&gt;=$B$8,"",IF(A47&lt;$B$7,0,12*$B$12)))</f>
      </c>
      <c r="F47" s="3">
        <f>IF($B$22&lt;&gt;"Ready","",IF($B$6+10&gt;=$B$8,"",MAX(0,E47-D47)))</f>
      </c>
      <c r="G47" s="3">
        <f>IF($B$22&lt;&gt;"Ready","",IF($B$6+10&gt;=$B$8,"",MAX(0,B47*(1+$B$27)+C47-F47)))</f>
      </c>
      <c r="H47" s="3">
        <f>IF($B$22&lt;&gt;"Ready","",IF($B$6+10&gt;=$B$8,"",ROUND(IF(ABS((MAX(0,F47-(B47*(1+$B$27)+C47))*100)-(INT(MAX(0,F47-(B47*(1+$B$27)+C47))*100)+0.5))&lt;=MIN(0.0000001,4*2.220446049250313E-16*MAX(1,ABS(F47),ABS(B47*(1+$B$27)+C47))*100),(INT(MAX(0,F47-(B47*(1+$B$27)+C47))*100)+0.5),MAX(0,F47-(B47*(1+$B$27)+C47))*100),0)/100))</f>
      </c>
      <c r="I47" s="0">
        <f>IF($B$22&lt;&gt;"Ready","",IF($B$6+10&gt;=$B$8,"",IF(I46&lt;&gt;"",I46,IF(H47&gt;0,A47+1,""))))</f>
      </c>
    </row>
    <row r="48" ht="15" customHeight="1">
      <c r="A48" s="0">
        <f>IF($B$22&lt;&gt;"Ready","",IF($B$6+11&gt;=$B$8,"",$B$6+11))</f>
      </c>
      <c r="B48" s="3">
        <f>IF($B$22&lt;&gt;"Ready","",IF($B$6+11&gt;=$B$8,"",G47))</f>
      </c>
      <c r="C48" s="3">
        <f>IF($B$22&lt;&gt;"Ready","",IF($B$6+11&gt;=$B$8,"",IF(A48&lt;$B$7,12*($B$10+$B$11),0)))</f>
      </c>
      <c r="D48" s="3">
        <f>IF($B$22&lt;&gt;"Ready","",IF($B$6+11&gt;=$B$8,"",IF(A48&lt;$B$7,0,12*(IF($B$13&gt;0,IF(A48&gt;=$B$14,$B$13,0),0)+IF($B$15&gt;0,IF(A48&gt;=$B$16,$B$15,0),0)))))</f>
      </c>
      <c r="E48" s="3">
        <f>IF($B$22&lt;&gt;"Ready","",IF($B$6+11&gt;=$B$8,"",IF(A48&lt;$B$7,0,12*$B$12)))</f>
      </c>
      <c r="F48" s="3">
        <f>IF($B$22&lt;&gt;"Ready","",IF($B$6+11&gt;=$B$8,"",MAX(0,E48-D48)))</f>
      </c>
      <c r="G48" s="3">
        <f>IF($B$22&lt;&gt;"Ready","",IF($B$6+11&gt;=$B$8,"",MAX(0,B48*(1+$B$27)+C48-F48)))</f>
      </c>
      <c r="H48" s="3">
        <f>IF($B$22&lt;&gt;"Ready","",IF($B$6+11&gt;=$B$8,"",ROUND(IF(ABS((MAX(0,F48-(B48*(1+$B$27)+C48))*100)-(INT(MAX(0,F48-(B48*(1+$B$27)+C48))*100)+0.5))&lt;=MIN(0.0000001,4*2.220446049250313E-16*MAX(1,ABS(F48),ABS(B48*(1+$B$27)+C48))*100),(INT(MAX(0,F48-(B48*(1+$B$27)+C48))*100)+0.5),MAX(0,F48-(B48*(1+$B$27)+C48))*100),0)/100))</f>
      </c>
      <c r="I48" s="0">
        <f>IF($B$22&lt;&gt;"Ready","",IF($B$6+11&gt;=$B$8,"",IF(I47&lt;&gt;"",I47,IF(H48&gt;0,A48+1,""))))</f>
      </c>
    </row>
    <row r="49" ht="15" customHeight="1">
      <c r="A49" s="0">
        <f>IF($B$22&lt;&gt;"Ready","",IF($B$6+12&gt;=$B$8,"",$B$6+12))</f>
      </c>
      <c r="B49" s="3">
        <f>IF($B$22&lt;&gt;"Ready","",IF($B$6+12&gt;=$B$8,"",G48))</f>
      </c>
      <c r="C49" s="3">
        <f>IF($B$22&lt;&gt;"Ready","",IF($B$6+12&gt;=$B$8,"",IF(A49&lt;$B$7,12*($B$10+$B$11),0)))</f>
      </c>
      <c r="D49" s="3">
        <f>IF($B$22&lt;&gt;"Ready","",IF($B$6+12&gt;=$B$8,"",IF(A49&lt;$B$7,0,12*(IF($B$13&gt;0,IF(A49&gt;=$B$14,$B$13,0),0)+IF($B$15&gt;0,IF(A49&gt;=$B$16,$B$15,0),0)))))</f>
      </c>
      <c r="E49" s="3">
        <f>IF($B$22&lt;&gt;"Ready","",IF($B$6+12&gt;=$B$8,"",IF(A49&lt;$B$7,0,12*$B$12)))</f>
      </c>
      <c r="F49" s="3">
        <f>IF($B$22&lt;&gt;"Ready","",IF($B$6+12&gt;=$B$8,"",MAX(0,E49-D49)))</f>
      </c>
      <c r="G49" s="3">
        <f>IF($B$22&lt;&gt;"Ready","",IF($B$6+12&gt;=$B$8,"",MAX(0,B49*(1+$B$27)+C49-F49)))</f>
      </c>
      <c r="H49" s="3">
        <f>IF($B$22&lt;&gt;"Ready","",IF($B$6+12&gt;=$B$8,"",ROUND(IF(ABS((MAX(0,F49-(B49*(1+$B$27)+C49))*100)-(INT(MAX(0,F49-(B49*(1+$B$27)+C49))*100)+0.5))&lt;=MIN(0.0000001,4*2.220446049250313E-16*MAX(1,ABS(F49),ABS(B49*(1+$B$27)+C49))*100),(INT(MAX(0,F49-(B49*(1+$B$27)+C49))*100)+0.5),MAX(0,F49-(B49*(1+$B$27)+C49))*100),0)/100))</f>
      </c>
      <c r="I49" s="0">
        <f>IF($B$22&lt;&gt;"Ready","",IF($B$6+12&gt;=$B$8,"",IF(I48&lt;&gt;"",I48,IF(H49&gt;0,A49+1,""))))</f>
      </c>
    </row>
    <row r="50" ht="15" customHeight="1">
      <c r="A50" s="0">
        <f>IF($B$22&lt;&gt;"Ready","",IF($B$6+13&gt;=$B$8,"",$B$6+13))</f>
      </c>
      <c r="B50" s="3">
        <f>IF($B$22&lt;&gt;"Ready","",IF($B$6+13&gt;=$B$8,"",G49))</f>
      </c>
      <c r="C50" s="3">
        <f>IF($B$22&lt;&gt;"Ready","",IF($B$6+13&gt;=$B$8,"",IF(A50&lt;$B$7,12*($B$10+$B$11),0)))</f>
      </c>
      <c r="D50" s="3">
        <f>IF($B$22&lt;&gt;"Ready","",IF($B$6+13&gt;=$B$8,"",IF(A50&lt;$B$7,0,12*(IF($B$13&gt;0,IF(A50&gt;=$B$14,$B$13,0),0)+IF($B$15&gt;0,IF(A50&gt;=$B$16,$B$15,0),0)))))</f>
      </c>
      <c r="E50" s="3">
        <f>IF($B$22&lt;&gt;"Ready","",IF($B$6+13&gt;=$B$8,"",IF(A50&lt;$B$7,0,12*$B$12)))</f>
      </c>
      <c r="F50" s="3">
        <f>IF($B$22&lt;&gt;"Ready","",IF($B$6+13&gt;=$B$8,"",MAX(0,E50-D50)))</f>
      </c>
      <c r="G50" s="3">
        <f>IF($B$22&lt;&gt;"Ready","",IF($B$6+13&gt;=$B$8,"",MAX(0,B50*(1+$B$27)+C50-F50)))</f>
      </c>
      <c r="H50" s="3">
        <f>IF($B$22&lt;&gt;"Ready","",IF($B$6+13&gt;=$B$8,"",ROUND(IF(ABS((MAX(0,F50-(B50*(1+$B$27)+C50))*100)-(INT(MAX(0,F50-(B50*(1+$B$27)+C50))*100)+0.5))&lt;=MIN(0.0000001,4*2.220446049250313E-16*MAX(1,ABS(F50),ABS(B50*(1+$B$27)+C50))*100),(INT(MAX(0,F50-(B50*(1+$B$27)+C50))*100)+0.5),MAX(0,F50-(B50*(1+$B$27)+C50))*100),0)/100))</f>
      </c>
      <c r="I50" s="0">
        <f>IF($B$22&lt;&gt;"Ready","",IF($B$6+13&gt;=$B$8,"",IF(I49&lt;&gt;"",I49,IF(H50&gt;0,A50+1,""))))</f>
      </c>
    </row>
    <row r="51" ht="15" customHeight="1">
      <c r="A51" s="0">
        <f>IF($B$22&lt;&gt;"Ready","",IF($B$6+14&gt;=$B$8,"",$B$6+14))</f>
      </c>
      <c r="B51" s="3">
        <f>IF($B$22&lt;&gt;"Ready","",IF($B$6+14&gt;=$B$8,"",G50))</f>
      </c>
      <c r="C51" s="3">
        <f>IF($B$22&lt;&gt;"Ready","",IF($B$6+14&gt;=$B$8,"",IF(A51&lt;$B$7,12*($B$10+$B$11),0)))</f>
      </c>
      <c r="D51" s="3">
        <f>IF($B$22&lt;&gt;"Ready","",IF($B$6+14&gt;=$B$8,"",IF(A51&lt;$B$7,0,12*(IF($B$13&gt;0,IF(A51&gt;=$B$14,$B$13,0),0)+IF($B$15&gt;0,IF(A51&gt;=$B$16,$B$15,0),0)))))</f>
      </c>
      <c r="E51" s="3">
        <f>IF($B$22&lt;&gt;"Ready","",IF($B$6+14&gt;=$B$8,"",IF(A51&lt;$B$7,0,12*$B$12)))</f>
      </c>
      <c r="F51" s="3">
        <f>IF($B$22&lt;&gt;"Ready","",IF($B$6+14&gt;=$B$8,"",MAX(0,E51-D51)))</f>
      </c>
      <c r="G51" s="3">
        <f>IF($B$22&lt;&gt;"Ready","",IF($B$6+14&gt;=$B$8,"",MAX(0,B51*(1+$B$27)+C51-F51)))</f>
      </c>
      <c r="H51" s="3">
        <f>IF($B$22&lt;&gt;"Ready","",IF($B$6+14&gt;=$B$8,"",ROUND(IF(ABS((MAX(0,F51-(B51*(1+$B$27)+C51))*100)-(INT(MAX(0,F51-(B51*(1+$B$27)+C51))*100)+0.5))&lt;=MIN(0.0000001,4*2.220446049250313E-16*MAX(1,ABS(F51),ABS(B51*(1+$B$27)+C51))*100),(INT(MAX(0,F51-(B51*(1+$B$27)+C51))*100)+0.5),MAX(0,F51-(B51*(1+$B$27)+C51))*100),0)/100))</f>
      </c>
      <c r="I51" s="0">
        <f>IF($B$22&lt;&gt;"Ready","",IF($B$6+14&gt;=$B$8,"",IF(I50&lt;&gt;"",I50,IF(H51&gt;0,A51+1,""))))</f>
      </c>
    </row>
    <row r="52" ht="15" customHeight="1">
      <c r="A52" s="0">
        <f>IF($B$22&lt;&gt;"Ready","",IF($B$6+15&gt;=$B$8,"",$B$6+15))</f>
      </c>
      <c r="B52" s="3">
        <f>IF($B$22&lt;&gt;"Ready","",IF($B$6+15&gt;=$B$8,"",G51))</f>
      </c>
      <c r="C52" s="3">
        <f>IF($B$22&lt;&gt;"Ready","",IF($B$6+15&gt;=$B$8,"",IF(A52&lt;$B$7,12*($B$10+$B$11),0)))</f>
      </c>
      <c r="D52" s="3">
        <f>IF($B$22&lt;&gt;"Ready","",IF($B$6+15&gt;=$B$8,"",IF(A52&lt;$B$7,0,12*(IF($B$13&gt;0,IF(A52&gt;=$B$14,$B$13,0),0)+IF($B$15&gt;0,IF(A52&gt;=$B$16,$B$15,0),0)))))</f>
      </c>
      <c r="E52" s="3">
        <f>IF($B$22&lt;&gt;"Ready","",IF($B$6+15&gt;=$B$8,"",IF(A52&lt;$B$7,0,12*$B$12)))</f>
      </c>
      <c r="F52" s="3">
        <f>IF($B$22&lt;&gt;"Ready","",IF($B$6+15&gt;=$B$8,"",MAX(0,E52-D52)))</f>
      </c>
      <c r="G52" s="3">
        <f>IF($B$22&lt;&gt;"Ready","",IF($B$6+15&gt;=$B$8,"",MAX(0,B52*(1+$B$27)+C52-F52)))</f>
      </c>
      <c r="H52" s="3">
        <f>IF($B$22&lt;&gt;"Ready","",IF($B$6+15&gt;=$B$8,"",ROUND(IF(ABS((MAX(0,F52-(B52*(1+$B$27)+C52))*100)-(INT(MAX(0,F52-(B52*(1+$B$27)+C52))*100)+0.5))&lt;=MIN(0.0000001,4*2.220446049250313E-16*MAX(1,ABS(F52),ABS(B52*(1+$B$27)+C52))*100),(INT(MAX(0,F52-(B52*(1+$B$27)+C52))*100)+0.5),MAX(0,F52-(B52*(1+$B$27)+C52))*100),0)/100))</f>
      </c>
      <c r="I52" s="0">
        <f>IF($B$22&lt;&gt;"Ready","",IF($B$6+15&gt;=$B$8,"",IF(I51&lt;&gt;"",I51,IF(H52&gt;0,A52+1,""))))</f>
      </c>
    </row>
    <row r="53" ht="15" customHeight="1">
      <c r="A53" s="0">
        <f>IF($B$22&lt;&gt;"Ready","",IF($B$6+16&gt;=$B$8,"",$B$6+16))</f>
      </c>
      <c r="B53" s="3">
        <f>IF($B$22&lt;&gt;"Ready","",IF($B$6+16&gt;=$B$8,"",G52))</f>
      </c>
      <c r="C53" s="3">
        <f>IF($B$22&lt;&gt;"Ready","",IF($B$6+16&gt;=$B$8,"",IF(A53&lt;$B$7,12*($B$10+$B$11),0)))</f>
      </c>
      <c r="D53" s="3">
        <f>IF($B$22&lt;&gt;"Ready","",IF($B$6+16&gt;=$B$8,"",IF(A53&lt;$B$7,0,12*(IF($B$13&gt;0,IF(A53&gt;=$B$14,$B$13,0),0)+IF($B$15&gt;0,IF(A53&gt;=$B$16,$B$15,0),0)))))</f>
      </c>
      <c r="E53" s="3">
        <f>IF($B$22&lt;&gt;"Ready","",IF($B$6+16&gt;=$B$8,"",IF(A53&lt;$B$7,0,12*$B$12)))</f>
      </c>
      <c r="F53" s="3">
        <f>IF($B$22&lt;&gt;"Ready","",IF($B$6+16&gt;=$B$8,"",MAX(0,E53-D53)))</f>
      </c>
      <c r="G53" s="3">
        <f>IF($B$22&lt;&gt;"Ready","",IF($B$6+16&gt;=$B$8,"",MAX(0,B53*(1+$B$27)+C53-F53)))</f>
      </c>
      <c r="H53" s="3">
        <f>IF($B$22&lt;&gt;"Ready","",IF($B$6+16&gt;=$B$8,"",ROUND(IF(ABS((MAX(0,F53-(B53*(1+$B$27)+C53))*100)-(INT(MAX(0,F53-(B53*(1+$B$27)+C53))*100)+0.5))&lt;=MIN(0.0000001,4*2.220446049250313E-16*MAX(1,ABS(F53),ABS(B53*(1+$B$27)+C53))*100),(INT(MAX(0,F53-(B53*(1+$B$27)+C53))*100)+0.5),MAX(0,F53-(B53*(1+$B$27)+C53))*100),0)/100))</f>
      </c>
      <c r="I53" s="0">
        <f>IF($B$22&lt;&gt;"Ready","",IF($B$6+16&gt;=$B$8,"",IF(I52&lt;&gt;"",I52,IF(H53&gt;0,A53+1,""))))</f>
      </c>
    </row>
    <row r="54" ht="15" customHeight="1">
      <c r="A54" s="0">
        <f>IF($B$22&lt;&gt;"Ready","",IF($B$6+17&gt;=$B$8,"",$B$6+17))</f>
      </c>
      <c r="B54" s="3">
        <f>IF($B$22&lt;&gt;"Ready","",IF($B$6+17&gt;=$B$8,"",G53))</f>
      </c>
      <c r="C54" s="3">
        <f>IF($B$22&lt;&gt;"Ready","",IF($B$6+17&gt;=$B$8,"",IF(A54&lt;$B$7,12*($B$10+$B$11),0)))</f>
      </c>
      <c r="D54" s="3">
        <f>IF($B$22&lt;&gt;"Ready","",IF($B$6+17&gt;=$B$8,"",IF(A54&lt;$B$7,0,12*(IF($B$13&gt;0,IF(A54&gt;=$B$14,$B$13,0),0)+IF($B$15&gt;0,IF(A54&gt;=$B$16,$B$15,0),0)))))</f>
      </c>
      <c r="E54" s="3">
        <f>IF($B$22&lt;&gt;"Ready","",IF($B$6+17&gt;=$B$8,"",IF(A54&lt;$B$7,0,12*$B$12)))</f>
      </c>
      <c r="F54" s="3">
        <f>IF($B$22&lt;&gt;"Ready","",IF($B$6+17&gt;=$B$8,"",MAX(0,E54-D54)))</f>
      </c>
      <c r="G54" s="3">
        <f>IF($B$22&lt;&gt;"Ready","",IF($B$6+17&gt;=$B$8,"",MAX(0,B54*(1+$B$27)+C54-F54)))</f>
      </c>
      <c r="H54" s="3">
        <f>IF($B$22&lt;&gt;"Ready","",IF($B$6+17&gt;=$B$8,"",ROUND(IF(ABS((MAX(0,F54-(B54*(1+$B$27)+C54))*100)-(INT(MAX(0,F54-(B54*(1+$B$27)+C54))*100)+0.5))&lt;=MIN(0.0000001,4*2.220446049250313E-16*MAX(1,ABS(F54),ABS(B54*(1+$B$27)+C54))*100),(INT(MAX(0,F54-(B54*(1+$B$27)+C54))*100)+0.5),MAX(0,F54-(B54*(1+$B$27)+C54))*100),0)/100))</f>
      </c>
      <c r="I54" s="0">
        <f>IF($B$22&lt;&gt;"Ready","",IF($B$6+17&gt;=$B$8,"",IF(I53&lt;&gt;"",I53,IF(H54&gt;0,A54+1,""))))</f>
      </c>
    </row>
    <row r="55" ht="15" customHeight="1">
      <c r="A55" s="0">
        <f>IF($B$22&lt;&gt;"Ready","",IF($B$6+18&gt;=$B$8,"",$B$6+18))</f>
      </c>
      <c r="B55" s="3">
        <f>IF($B$22&lt;&gt;"Ready","",IF($B$6+18&gt;=$B$8,"",G54))</f>
      </c>
      <c r="C55" s="3">
        <f>IF($B$22&lt;&gt;"Ready","",IF($B$6+18&gt;=$B$8,"",IF(A55&lt;$B$7,12*($B$10+$B$11),0)))</f>
      </c>
      <c r="D55" s="3">
        <f>IF($B$22&lt;&gt;"Ready","",IF($B$6+18&gt;=$B$8,"",IF(A55&lt;$B$7,0,12*(IF($B$13&gt;0,IF(A55&gt;=$B$14,$B$13,0),0)+IF($B$15&gt;0,IF(A55&gt;=$B$16,$B$15,0),0)))))</f>
      </c>
      <c r="E55" s="3">
        <f>IF($B$22&lt;&gt;"Ready","",IF($B$6+18&gt;=$B$8,"",IF(A55&lt;$B$7,0,12*$B$12)))</f>
      </c>
      <c r="F55" s="3">
        <f>IF($B$22&lt;&gt;"Ready","",IF($B$6+18&gt;=$B$8,"",MAX(0,E55-D55)))</f>
      </c>
      <c r="G55" s="3">
        <f>IF($B$22&lt;&gt;"Ready","",IF($B$6+18&gt;=$B$8,"",MAX(0,B55*(1+$B$27)+C55-F55)))</f>
      </c>
      <c r="H55" s="3">
        <f>IF($B$22&lt;&gt;"Ready","",IF($B$6+18&gt;=$B$8,"",ROUND(IF(ABS((MAX(0,F55-(B55*(1+$B$27)+C55))*100)-(INT(MAX(0,F55-(B55*(1+$B$27)+C55))*100)+0.5))&lt;=MIN(0.0000001,4*2.220446049250313E-16*MAX(1,ABS(F55),ABS(B55*(1+$B$27)+C55))*100),(INT(MAX(0,F55-(B55*(1+$B$27)+C55))*100)+0.5),MAX(0,F55-(B55*(1+$B$27)+C55))*100),0)/100))</f>
      </c>
      <c r="I55" s="0">
        <f>IF($B$22&lt;&gt;"Ready","",IF($B$6+18&gt;=$B$8,"",IF(I54&lt;&gt;"",I54,IF(H55&gt;0,A55+1,""))))</f>
      </c>
    </row>
    <row r="56" ht="15" customHeight="1">
      <c r="A56" s="0">
        <f>IF($B$22&lt;&gt;"Ready","",IF($B$6+19&gt;=$B$8,"",$B$6+19))</f>
      </c>
      <c r="B56" s="3">
        <f>IF($B$22&lt;&gt;"Ready","",IF($B$6+19&gt;=$B$8,"",G55))</f>
      </c>
      <c r="C56" s="3">
        <f>IF($B$22&lt;&gt;"Ready","",IF($B$6+19&gt;=$B$8,"",IF(A56&lt;$B$7,12*($B$10+$B$11),0)))</f>
      </c>
      <c r="D56" s="3">
        <f>IF($B$22&lt;&gt;"Ready","",IF($B$6+19&gt;=$B$8,"",IF(A56&lt;$B$7,0,12*(IF($B$13&gt;0,IF(A56&gt;=$B$14,$B$13,0),0)+IF($B$15&gt;0,IF(A56&gt;=$B$16,$B$15,0),0)))))</f>
      </c>
      <c r="E56" s="3">
        <f>IF($B$22&lt;&gt;"Ready","",IF($B$6+19&gt;=$B$8,"",IF(A56&lt;$B$7,0,12*$B$12)))</f>
      </c>
      <c r="F56" s="3">
        <f>IF($B$22&lt;&gt;"Ready","",IF($B$6+19&gt;=$B$8,"",MAX(0,E56-D56)))</f>
      </c>
      <c r="G56" s="3">
        <f>IF($B$22&lt;&gt;"Ready","",IF($B$6+19&gt;=$B$8,"",MAX(0,B56*(1+$B$27)+C56-F56)))</f>
      </c>
      <c r="H56" s="3">
        <f>IF($B$22&lt;&gt;"Ready","",IF($B$6+19&gt;=$B$8,"",ROUND(IF(ABS((MAX(0,F56-(B56*(1+$B$27)+C56))*100)-(INT(MAX(0,F56-(B56*(1+$B$27)+C56))*100)+0.5))&lt;=MIN(0.0000001,4*2.220446049250313E-16*MAX(1,ABS(F56),ABS(B56*(1+$B$27)+C56))*100),(INT(MAX(0,F56-(B56*(1+$B$27)+C56))*100)+0.5),MAX(0,F56-(B56*(1+$B$27)+C56))*100),0)/100))</f>
      </c>
      <c r="I56" s="0">
        <f>IF($B$22&lt;&gt;"Ready","",IF($B$6+19&gt;=$B$8,"",IF(I55&lt;&gt;"",I55,IF(H56&gt;0,A56+1,""))))</f>
      </c>
    </row>
    <row r="57" ht="15" customHeight="1">
      <c r="A57" s="0">
        <f>IF($B$22&lt;&gt;"Ready","",IF($B$6+20&gt;=$B$8,"",$B$6+20))</f>
      </c>
      <c r="B57" s="3">
        <f>IF($B$22&lt;&gt;"Ready","",IF($B$6+20&gt;=$B$8,"",G56))</f>
      </c>
      <c r="C57" s="3">
        <f>IF($B$22&lt;&gt;"Ready","",IF($B$6+20&gt;=$B$8,"",IF(A57&lt;$B$7,12*($B$10+$B$11),0)))</f>
      </c>
      <c r="D57" s="3">
        <f>IF($B$22&lt;&gt;"Ready","",IF($B$6+20&gt;=$B$8,"",IF(A57&lt;$B$7,0,12*(IF($B$13&gt;0,IF(A57&gt;=$B$14,$B$13,0),0)+IF($B$15&gt;0,IF(A57&gt;=$B$16,$B$15,0),0)))))</f>
      </c>
      <c r="E57" s="3">
        <f>IF($B$22&lt;&gt;"Ready","",IF($B$6+20&gt;=$B$8,"",IF(A57&lt;$B$7,0,12*$B$12)))</f>
      </c>
      <c r="F57" s="3">
        <f>IF($B$22&lt;&gt;"Ready","",IF($B$6+20&gt;=$B$8,"",MAX(0,E57-D57)))</f>
      </c>
      <c r="G57" s="3">
        <f>IF($B$22&lt;&gt;"Ready","",IF($B$6+20&gt;=$B$8,"",MAX(0,B57*(1+$B$27)+C57-F57)))</f>
      </c>
      <c r="H57" s="3">
        <f>IF($B$22&lt;&gt;"Ready","",IF($B$6+20&gt;=$B$8,"",ROUND(IF(ABS((MAX(0,F57-(B57*(1+$B$27)+C57))*100)-(INT(MAX(0,F57-(B57*(1+$B$27)+C57))*100)+0.5))&lt;=MIN(0.0000001,4*2.220446049250313E-16*MAX(1,ABS(F57),ABS(B57*(1+$B$27)+C57))*100),(INT(MAX(0,F57-(B57*(1+$B$27)+C57))*100)+0.5),MAX(0,F57-(B57*(1+$B$27)+C57))*100),0)/100))</f>
      </c>
      <c r="I57" s="0">
        <f>IF($B$22&lt;&gt;"Ready","",IF($B$6+20&gt;=$B$8,"",IF(I56&lt;&gt;"",I56,IF(H57&gt;0,A57+1,""))))</f>
      </c>
    </row>
    <row r="58" ht="15" customHeight="1">
      <c r="A58" s="0">
        <f>IF($B$22&lt;&gt;"Ready","",IF($B$6+21&gt;=$B$8,"",$B$6+21))</f>
      </c>
      <c r="B58" s="3">
        <f>IF($B$22&lt;&gt;"Ready","",IF($B$6+21&gt;=$B$8,"",G57))</f>
      </c>
      <c r="C58" s="3">
        <f>IF($B$22&lt;&gt;"Ready","",IF($B$6+21&gt;=$B$8,"",IF(A58&lt;$B$7,12*($B$10+$B$11),0)))</f>
      </c>
      <c r="D58" s="3">
        <f>IF($B$22&lt;&gt;"Ready","",IF($B$6+21&gt;=$B$8,"",IF(A58&lt;$B$7,0,12*(IF($B$13&gt;0,IF(A58&gt;=$B$14,$B$13,0),0)+IF($B$15&gt;0,IF(A58&gt;=$B$16,$B$15,0),0)))))</f>
      </c>
      <c r="E58" s="3">
        <f>IF($B$22&lt;&gt;"Ready","",IF($B$6+21&gt;=$B$8,"",IF(A58&lt;$B$7,0,12*$B$12)))</f>
      </c>
      <c r="F58" s="3">
        <f>IF($B$22&lt;&gt;"Ready","",IF($B$6+21&gt;=$B$8,"",MAX(0,E58-D58)))</f>
      </c>
      <c r="G58" s="3">
        <f>IF($B$22&lt;&gt;"Ready","",IF($B$6+21&gt;=$B$8,"",MAX(0,B58*(1+$B$27)+C58-F58)))</f>
      </c>
      <c r="H58" s="3">
        <f>IF($B$22&lt;&gt;"Ready","",IF($B$6+21&gt;=$B$8,"",ROUND(IF(ABS((MAX(0,F58-(B58*(1+$B$27)+C58))*100)-(INT(MAX(0,F58-(B58*(1+$B$27)+C58))*100)+0.5))&lt;=MIN(0.0000001,4*2.220446049250313E-16*MAX(1,ABS(F58),ABS(B58*(1+$B$27)+C58))*100),(INT(MAX(0,F58-(B58*(1+$B$27)+C58))*100)+0.5),MAX(0,F58-(B58*(1+$B$27)+C58))*100),0)/100))</f>
      </c>
      <c r="I58" s="0">
        <f>IF($B$22&lt;&gt;"Ready","",IF($B$6+21&gt;=$B$8,"",IF(I57&lt;&gt;"",I57,IF(H58&gt;0,A58+1,""))))</f>
      </c>
    </row>
    <row r="59" ht="15" customHeight="1">
      <c r="A59" s="0">
        <f>IF($B$22&lt;&gt;"Ready","",IF($B$6+22&gt;=$B$8,"",$B$6+22))</f>
      </c>
      <c r="B59" s="3">
        <f>IF($B$22&lt;&gt;"Ready","",IF($B$6+22&gt;=$B$8,"",G58))</f>
      </c>
      <c r="C59" s="3">
        <f>IF($B$22&lt;&gt;"Ready","",IF($B$6+22&gt;=$B$8,"",IF(A59&lt;$B$7,12*($B$10+$B$11),0)))</f>
      </c>
      <c r="D59" s="3">
        <f>IF($B$22&lt;&gt;"Ready","",IF($B$6+22&gt;=$B$8,"",IF(A59&lt;$B$7,0,12*(IF($B$13&gt;0,IF(A59&gt;=$B$14,$B$13,0),0)+IF($B$15&gt;0,IF(A59&gt;=$B$16,$B$15,0),0)))))</f>
      </c>
      <c r="E59" s="3">
        <f>IF($B$22&lt;&gt;"Ready","",IF($B$6+22&gt;=$B$8,"",IF(A59&lt;$B$7,0,12*$B$12)))</f>
      </c>
      <c r="F59" s="3">
        <f>IF($B$22&lt;&gt;"Ready","",IF($B$6+22&gt;=$B$8,"",MAX(0,E59-D59)))</f>
      </c>
      <c r="G59" s="3">
        <f>IF($B$22&lt;&gt;"Ready","",IF($B$6+22&gt;=$B$8,"",MAX(0,B59*(1+$B$27)+C59-F59)))</f>
      </c>
      <c r="H59" s="3">
        <f>IF($B$22&lt;&gt;"Ready","",IF($B$6+22&gt;=$B$8,"",ROUND(IF(ABS((MAX(0,F59-(B59*(1+$B$27)+C59))*100)-(INT(MAX(0,F59-(B59*(1+$B$27)+C59))*100)+0.5))&lt;=MIN(0.0000001,4*2.220446049250313E-16*MAX(1,ABS(F59),ABS(B59*(1+$B$27)+C59))*100),(INT(MAX(0,F59-(B59*(1+$B$27)+C59))*100)+0.5),MAX(0,F59-(B59*(1+$B$27)+C59))*100),0)/100))</f>
      </c>
      <c r="I59" s="0">
        <f>IF($B$22&lt;&gt;"Ready","",IF($B$6+22&gt;=$B$8,"",IF(I58&lt;&gt;"",I58,IF(H59&gt;0,A59+1,""))))</f>
      </c>
    </row>
    <row r="60" ht="15" customHeight="1">
      <c r="A60" s="0">
        <f>IF($B$22&lt;&gt;"Ready","",IF($B$6+23&gt;=$B$8,"",$B$6+23))</f>
      </c>
      <c r="B60" s="3">
        <f>IF($B$22&lt;&gt;"Ready","",IF($B$6+23&gt;=$B$8,"",G59))</f>
      </c>
      <c r="C60" s="3">
        <f>IF($B$22&lt;&gt;"Ready","",IF($B$6+23&gt;=$B$8,"",IF(A60&lt;$B$7,12*($B$10+$B$11),0)))</f>
      </c>
      <c r="D60" s="3">
        <f>IF($B$22&lt;&gt;"Ready","",IF($B$6+23&gt;=$B$8,"",IF(A60&lt;$B$7,0,12*(IF($B$13&gt;0,IF(A60&gt;=$B$14,$B$13,0),0)+IF($B$15&gt;0,IF(A60&gt;=$B$16,$B$15,0),0)))))</f>
      </c>
      <c r="E60" s="3">
        <f>IF($B$22&lt;&gt;"Ready","",IF($B$6+23&gt;=$B$8,"",IF(A60&lt;$B$7,0,12*$B$12)))</f>
      </c>
      <c r="F60" s="3">
        <f>IF($B$22&lt;&gt;"Ready","",IF($B$6+23&gt;=$B$8,"",MAX(0,E60-D60)))</f>
      </c>
      <c r="G60" s="3">
        <f>IF($B$22&lt;&gt;"Ready","",IF($B$6+23&gt;=$B$8,"",MAX(0,B60*(1+$B$27)+C60-F60)))</f>
      </c>
      <c r="H60" s="3">
        <f>IF($B$22&lt;&gt;"Ready","",IF($B$6+23&gt;=$B$8,"",ROUND(IF(ABS((MAX(0,F60-(B60*(1+$B$27)+C60))*100)-(INT(MAX(0,F60-(B60*(1+$B$27)+C60))*100)+0.5))&lt;=MIN(0.0000001,4*2.220446049250313E-16*MAX(1,ABS(F60),ABS(B60*(1+$B$27)+C60))*100),(INT(MAX(0,F60-(B60*(1+$B$27)+C60))*100)+0.5),MAX(0,F60-(B60*(1+$B$27)+C60))*100),0)/100))</f>
      </c>
      <c r="I60" s="0">
        <f>IF($B$22&lt;&gt;"Ready","",IF($B$6+23&gt;=$B$8,"",IF(I59&lt;&gt;"",I59,IF(H60&gt;0,A60+1,""))))</f>
      </c>
    </row>
    <row r="61" ht="15" customHeight="1">
      <c r="A61" s="0">
        <f>IF($B$22&lt;&gt;"Ready","",IF($B$6+24&gt;=$B$8,"",$B$6+24))</f>
      </c>
      <c r="B61" s="3">
        <f>IF($B$22&lt;&gt;"Ready","",IF($B$6+24&gt;=$B$8,"",G60))</f>
      </c>
      <c r="C61" s="3">
        <f>IF($B$22&lt;&gt;"Ready","",IF($B$6+24&gt;=$B$8,"",IF(A61&lt;$B$7,12*($B$10+$B$11),0)))</f>
      </c>
      <c r="D61" s="3">
        <f>IF($B$22&lt;&gt;"Ready","",IF($B$6+24&gt;=$B$8,"",IF(A61&lt;$B$7,0,12*(IF($B$13&gt;0,IF(A61&gt;=$B$14,$B$13,0),0)+IF($B$15&gt;0,IF(A61&gt;=$B$16,$B$15,0),0)))))</f>
      </c>
      <c r="E61" s="3">
        <f>IF($B$22&lt;&gt;"Ready","",IF($B$6+24&gt;=$B$8,"",IF(A61&lt;$B$7,0,12*$B$12)))</f>
      </c>
      <c r="F61" s="3">
        <f>IF($B$22&lt;&gt;"Ready","",IF($B$6+24&gt;=$B$8,"",MAX(0,E61-D61)))</f>
      </c>
      <c r="G61" s="3">
        <f>IF($B$22&lt;&gt;"Ready","",IF($B$6+24&gt;=$B$8,"",MAX(0,B61*(1+$B$27)+C61-F61)))</f>
      </c>
      <c r="H61" s="3">
        <f>IF($B$22&lt;&gt;"Ready","",IF($B$6+24&gt;=$B$8,"",ROUND(IF(ABS((MAX(0,F61-(B61*(1+$B$27)+C61))*100)-(INT(MAX(0,F61-(B61*(1+$B$27)+C61))*100)+0.5))&lt;=MIN(0.0000001,4*2.220446049250313E-16*MAX(1,ABS(F61),ABS(B61*(1+$B$27)+C61))*100),(INT(MAX(0,F61-(B61*(1+$B$27)+C61))*100)+0.5),MAX(0,F61-(B61*(1+$B$27)+C61))*100),0)/100))</f>
      </c>
      <c r="I61" s="0">
        <f>IF($B$22&lt;&gt;"Ready","",IF($B$6+24&gt;=$B$8,"",IF(I60&lt;&gt;"",I60,IF(H61&gt;0,A61+1,""))))</f>
      </c>
    </row>
    <row r="62" ht="15" customHeight="1">
      <c r="A62" s="0">
        <f>IF($B$22&lt;&gt;"Ready","",IF($B$6+25&gt;=$B$8,"",$B$6+25))</f>
      </c>
      <c r="B62" s="3">
        <f>IF($B$22&lt;&gt;"Ready","",IF($B$6+25&gt;=$B$8,"",G61))</f>
      </c>
      <c r="C62" s="3">
        <f>IF($B$22&lt;&gt;"Ready","",IF($B$6+25&gt;=$B$8,"",IF(A62&lt;$B$7,12*($B$10+$B$11),0)))</f>
      </c>
      <c r="D62" s="3">
        <f>IF($B$22&lt;&gt;"Ready","",IF($B$6+25&gt;=$B$8,"",IF(A62&lt;$B$7,0,12*(IF($B$13&gt;0,IF(A62&gt;=$B$14,$B$13,0),0)+IF($B$15&gt;0,IF(A62&gt;=$B$16,$B$15,0),0)))))</f>
      </c>
      <c r="E62" s="3">
        <f>IF($B$22&lt;&gt;"Ready","",IF($B$6+25&gt;=$B$8,"",IF(A62&lt;$B$7,0,12*$B$12)))</f>
      </c>
      <c r="F62" s="3">
        <f>IF($B$22&lt;&gt;"Ready","",IF($B$6+25&gt;=$B$8,"",MAX(0,E62-D62)))</f>
      </c>
      <c r="G62" s="3">
        <f>IF($B$22&lt;&gt;"Ready","",IF($B$6+25&gt;=$B$8,"",MAX(0,B62*(1+$B$27)+C62-F62)))</f>
      </c>
      <c r="H62" s="3">
        <f>IF($B$22&lt;&gt;"Ready","",IF($B$6+25&gt;=$B$8,"",ROUND(IF(ABS((MAX(0,F62-(B62*(1+$B$27)+C62))*100)-(INT(MAX(0,F62-(B62*(1+$B$27)+C62))*100)+0.5))&lt;=MIN(0.0000001,4*2.220446049250313E-16*MAX(1,ABS(F62),ABS(B62*(1+$B$27)+C62))*100),(INT(MAX(0,F62-(B62*(1+$B$27)+C62))*100)+0.5),MAX(0,F62-(B62*(1+$B$27)+C62))*100),0)/100))</f>
      </c>
      <c r="I62" s="0">
        <f>IF($B$22&lt;&gt;"Ready","",IF($B$6+25&gt;=$B$8,"",IF(I61&lt;&gt;"",I61,IF(H62&gt;0,A62+1,""))))</f>
      </c>
    </row>
    <row r="63" ht="15" customHeight="1">
      <c r="A63" s="0">
        <f>IF($B$22&lt;&gt;"Ready","",IF($B$6+26&gt;=$B$8,"",$B$6+26))</f>
      </c>
      <c r="B63" s="3">
        <f>IF($B$22&lt;&gt;"Ready","",IF($B$6+26&gt;=$B$8,"",G62))</f>
      </c>
      <c r="C63" s="3">
        <f>IF($B$22&lt;&gt;"Ready","",IF($B$6+26&gt;=$B$8,"",IF(A63&lt;$B$7,12*($B$10+$B$11),0)))</f>
      </c>
      <c r="D63" s="3">
        <f>IF($B$22&lt;&gt;"Ready","",IF($B$6+26&gt;=$B$8,"",IF(A63&lt;$B$7,0,12*(IF($B$13&gt;0,IF(A63&gt;=$B$14,$B$13,0),0)+IF($B$15&gt;0,IF(A63&gt;=$B$16,$B$15,0),0)))))</f>
      </c>
      <c r="E63" s="3">
        <f>IF($B$22&lt;&gt;"Ready","",IF($B$6+26&gt;=$B$8,"",IF(A63&lt;$B$7,0,12*$B$12)))</f>
      </c>
      <c r="F63" s="3">
        <f>IF($B$22&lt;&gt;"Ready","",IF($B$6+26&gt;=$B$8,"",MAX(0,E63-D63)))</f>
      </c>
      <c r="G63" s="3">
        <f>IF($B$22&lt;&gt;"Ready","",IF($B$6+26&gt;=$B$8,"",MAX(0,B63*(1+$B$27)+C63-F63)))</f>
      </c>
      <c r="H63" s="3">
        <f>IF($B$22&lt;&gt;"Ready","",IF($B$6+26&gt;=$B$8,"",ROUND(IF(ABS((MAX(0,F63-(B63*(1+$B$27)+C63))*100)-(INT(MAX(0,F63-(B63*(1+$B$27)+C63))*100)+0.5))&lt;=MIN(0.0000001,4*2.220446049250313E-16*MAX(1,ABS(F63),ABS(B63*(1+$B$27)+C63))*100),(INT(MAX(0,F63-(B63*(1+$B$27)+C63))*100)+0.5),MAX(0,F63-(B63*(1+$B$27)+C63))*100),0)/100))</f>
      </c>
      <c r="I63" s="0">
        <f>IF($B$22&lt;&gt;"Ready","",IF($B$6+26&gt;=$B$8,"",IF(I62&lt;&gt;"",I62,IF(H63&gt;0,A63+1,""))))</f>
      </c>
    </row>
    <row r="64" ht="15" customHeight="1">
      <c r="A64" s="0">
        <f>IF($B$22&lt;&gt;"Ready","",IF($B$6+27&gt;=$B$8,"",$B$6+27))</f>
      </c>
      <c r="B64" s="3">
        <f>IF($B$22&lt;&gt;"Ready","",IF($B$6+27&gt;=$B$8,"",G63))</f>
      </c>
      <c r="C64" s="3">
        <f>IF($B$22&lt;&gt;"Ready","",IF($B$6+27&gt;=$B$8,"",IF(A64&lt;$B$7,12*($B$10+$B$11),0)))</f>
      </c>
      <c r="D64" s="3">
        <f>IF($B$22&lt;&gt;"Ready","",IF($B$6+27&gt;=$B$8,"",IF(A64&lt;$B$7,0,12*(IF($B$13&gt;0,IF(A64&gt;=$B$14,$B$13,0),0)+IF($B$15&gt;0,IF(A64&gt;=$B$16,$B$15,0),0)))))</f>
      </c>
      <c r="E64" s="3">
        <f>IF($B$22&lt;&gt;"Ready","",IF($B$6+27&gt;=$B$8,"",IF(A64&lt;$B$7,0,12*$B$12)))</f>
      </c>
      <c r="F64" s="3">
        <f>IF($B$22&lt;&gt;"Ready","",IF($B$6+27&gt;=$B$8,"",MAX(0,E64-D64)))</f>
      </c>
      <c r="G64" s="3">
        <f>IF($B$22&lt;&gt;"Ready","",IF($B$6+27&gt;=$B$8,"",MAX(0,B64*(1+$B$27)+C64-F64)))</f>
      </c>
      <c r="H64" s="3">
        <f>IF($B$22&lt;&gt;"Ready","",IF($B$6+27&gt;=$B$8,"",ROUND(IF(ABS((MAX(0,F64-(B64*(1+$B$27)+C64))*100)-(INT(MAX(0,F64-(B64*(1+$B$27)+C64))*100)+0.5))&lt;=MIN(0.0000001,4*2.220446049250313E-16*MAX(1,ABS(F64),ABS(B64*(1+$B$27)+C64))*100),(INT(MAX(0,F64-(B64*(1+$B$27)+C64))*100)+0.5),MAX(0,F64-(B64*(1+$B$27)+C64))*100),0)/100))</f>
      </c>
      <c r="I64" s="0">
        <f>IF($B$22&lt;&gt;"Ready","",IF($B$6+27&gt;=$B$8,"",IF(I63&lt;&gt;"",I63,IF(H64&gt;0,A64+1,""))))</f>
      </c>
    </row>
    <row r="65" ht="15" customHeight="1">
      <c r="A65" s="0">
        <f>IF($B$22&lt;&gt;"Ready","",IF($B$6+28&gt;=$B$8,"",$B$6+28))</f>
      </c>
      <c r="B65" s="3">
        <f>IF($B$22&lt;&gt;"Ready","",IF($B$6+28&gt;=$B$8,"",G64))</f>
      </c>
      <c r="C65" s="3">
        <f>IF($B$22&lt;&gt;"Ready","",IF($B$6+28&gt;=$B$8,"",IF(A65&lt;$B$7,12*($B$10+$B$11),0)))</f>
      </c>
      <c r="D65" s="3">
        <f>IF($B$22&lt;&gt;"Ready","",IF($B$6+28&gt;=$B$8,"",IF(A65&lt;$B$7,0,12*(IF($B$13&gt;0,IF(A65&gt;=$B$14,$B$13,0),0)+IF($B$15&gt;0,IF(A65&gt;=$B$16,$B$15,0),0)))))</f>
      </c>
      <c r="E65" s="3">
        <f>IF($B$22&lt;&gt;"Ready","",IF($B$6+28&gt;=$B$8,"",IF(A65&lt;$B$7,0,12*$B$12)))</f>
      </c>
      <c r="F65" s="3">
        <f>IF($B$22&lt;&gt;"Ready","",IF($B$6+28&gt;=$B$8,"",MAX(0,E65-D65)))</f>
      </c>
      <c r="G65" s="3">
        <f>IF($B$22&lt;&gt;"Ready","",IF($B$6+28&gt;=$B$8,"",MAX(0,B65*(1+$B$27)+C65-F65)))</f>
      </c>
      <c r="H65" s="3">
        <f>IF($B$22&lt;&gt;"Ready","",IF($B$6+28&gt;=$B$8,"",ROUND(IF(ABS((MAX(0,F65-(B65*(1+$B$27)+C65))*100)-(INT(MAX(0,F65-(B65*(1+$B$27)+C65))*100)+0.5))&lt;=MIN(0.0000001,4*2.220446049250313E-16*MAX(1,ABS(F65),ABS(B65*(1+$B$27)+C65))*100),(INT(MAX(0,F65-(B65*(1+$B$27)+C65))*100)+0.5),MAX(0,F65-(B65*(1+$B$27)+C65))*100),0)/100))</f>
      </c>
      <c r="I65" s="0">
        <f>IF($B$22&lt;&gt;"Ready","",IF($B$6+28&gt;=$B$8,"",IF(I64&lt;&gt;"",I64,IF(H65&gt;0,A65+1,""))))</f>
      </c>
    </row>
    <row r="66" ht="15" customHeight="1">
      <c r="A66" s="0">
        <f>IF($B$22&lt;&gt;"Ready","",IF($B$6+29&gt;=$B$8,"",$B$6+29))</f>
      </c>
      <c r="B66" s="3">
        <f>IF($B$22&lt;&gt;"Ready","",IF($B$6+29&gt;=$B$8,"",G65))</f>
      </c>
      <c r="C66" s="3">
        <f>IF($B$22&lt;&gt;"Ready","",IF($B$6+29&gt;=$B$8,"",IF(A66&lt;$B$7,12*($B$10+$B$11),0)))</f>
      </c>
      <c r="D66" s="3">
        <f>IF($B$22&lt;&gt;"Ready","",IF($B$6+29&gt;=$B$8,"",IF(A66&lt;$B$7,0,12*(IF($B$13&gt;0,IF(A66&gt;=$B$14,$B$13,0),0)+IF($B$15&gt;0,IF(A66&gt;=$B$16,$B$15,0),0)))))</f>
      </c>
      <c r="E66" s="3">
        <f>IF($B$22&lt;&gt;"Ready","",IF($B$6+29&gt;=$B$8,"",IF(A66&lt;$B$7,0,12*$B$12)))</f>
      </c>
      <c r="F66" s="3">
        <f>IF($B$22&lt;&gt;"Ready","",IF($B$6+29&gt;=$B$8,"",MAX(0,E66-D66)))</f>
      </c>
      <c r="G66" s="3">
        <f>IF($B$22&lt;&gt;"Ready","",IF($B$6+29&gt;=$B$8,"",MAX(0,B66*(1+$B$27)+C66-F66)))</f>
      </c>
      <c r="H66" s="3">
        <f>IF($B$22&lt;&gt;"Ready","",IF($B$6+29&gt;=$B$8,"",ROUND(IF(ABS((MAX(0,F66-(B66*(1+$B$27)+C66))*100)-(INT(MAX(0,F66-(B66*(1+$B$27)+C66))*100)+0.5))&lt;=MIN(0.0000001,4*2.220446049250313E-16*MAX(1,ABS(F66),ABS(B66*(1+$B$27)+C66))*100),(INT(MAX(0,F66-(B66*(1+$B$27)+C66))*100)+0.5),MAX(0,F66-(B66*(1+$B$27)+C66))*100),0)/100))</f>
      </c>
      <c r="I66" s="0">
        <f>IF($B$22&lt;&gt;"Ready","",IF($B$6+29&gt;=$B$8,"",IF(I65&lt;&gt;"",I65,IF(H66&gt;0,A66+1,""))))</f>
      </c>
    </row>
    <row r="67" ht="15" customHeight="1">
      <c r="A67" s="0">
        <f>IF($B$22&lt;&gt;"Ready","",IF($B$6+30&gt;=$B$8,"",$B$6+30))</f>
      </c>
      <c r="B67" s="3">
        <f>IF($B$22&lt;&gt;"Ready","",IF($B$6+30&gt;=$B$8,"",G66))</f>
      </c>
      <c r="C67" s="3">
        <f>IF($B$22&lt;&gt;"Ready","",IF($B$6+30&gt;=$B$8,"",IF(A67&lt;$B$7,12*($B$10+$B$11),0)))</f>
      </c>
      <c r="D67" s="3">
        <f>IF($B$22&lt;&gt;"Ready","",IF($B$6+30&gt;=$B$8,"",IF(A67&lt;$B$7,0,12*(IF($B$13&gt;0,IF(A67&gt;=$B$14,$B$13,0),0)+IF($B$15&gt;0,IF(A67&gt;=$B$16,$B$15,0),0)))))</f>
      </c>
      <c r="E67" s="3">
        <f>IF($B$22&lt;&gt;"Ready","",IF($B$6+30&gt;=$B$8,"",IF(A67&lt;$B$7,0,12*$B$12)))</f>
      </c>
      <c r="F67" s="3">
        <f>IF($B$22&lt;&gt;"Ready","",IF($B$6+30&gt;=$B$8,"",MAX(0,E67-D67)))</f>
      </c>
      <c r="G67" s="3">
        <f>IF($B$22&lt;&gt;"Ready","",IF($B$6+30&gt;=$B$8,"",MAX(0,B67*(1+$B$27)+C67-F67)))</f>
      </c>
      <c r="H67" s="3">
        <f>IF($B$22&lt;&gt;"Ready","",IF($B$6+30&gt;=$B$8,"",ROUND(IF(ABS((MAX(0,F67-(B67*(1+$B$27)+C67))*100)-(INT(MAX(0,F67-(B67*(1+$B$27)+C67))*100)+0.5))&lt;=MIN(0.0000001,4*2.220446049250313E-16*MAX(1,ABS(F67),ABS(B67*(1+$B$27)+C67))*100),(INT(MAX(0,F67-(B67*(1+$B$27)+C67))*100)+0.5),MAX(0,F67-(B67*(1+$B$27)+C67))*100),0)/100))</f>
      </c>
      <c r="I67" s="0">
        <f>IF($B$22&lt;&gt;"Ready","",IF($B$6+30&gt;=$B$8,"",IF(I66&lt;&gt;"",I66,IF(H67&gt;0,A67+1,""))))</f>
      </c>
    </row>
    <row r="68" ht="15" customHeight="1">
      <c r="A68" s="0">
        <f>IF($B$22&lt;&gt;"Ready","",IF($B$6+31&gt;=$B$8,"",$B$6+31))</f>
      </c>
      <c r="B68" s="3">
        <f>IF($B$22&lt;&gt;"Ready","",IF($B$6+31&gt;=$B$8,"",G67))</f>
      </c>
      <c r="C68" s="3">
        <f>IF($B$22&lt;&gt;"Ready","",IF($B$6+31&gt;=$B$8,"",IF(A68&lt;$B$7,12*($B$10+$B$11),0)))</f>
      </c>
      <c r="D68" s="3">
        <f>IF($B$22&lt;&gt;"Ready","",IF($B$6+31&gt;=$B$8,"",IF(A68&lt;$B$7,0,12*(IF($B$13&gt;0,IF(A68&gt;=$B$14,$B$13,0),0)+IF($B$15&gt;0,IF(A68&gt;=$B$16,$B$15,0),0)))))</f>
      </c>
      <c r="E68" s="3">
        <f>IF($B$22&lt;&gt;"Ready","",IF($B$6+31&gt;=$B$8,"",IF(A68&lt;$B$7,0,12*$B$12)))</f>
      </c>
      <c r="F68" s="3">
        <f>IF($B$22&lt;&gt;"Ready","",IF($B$6+31&gt;=$B$8,"",MAX(0,E68-D68)))</f>
      </c>
      <c r="G68" s="3">
        <f>IF($B$22&lt;&gt;"Ready","",IF($B$6+31&gt;=$B$8,"",MAX(0,B68*(1+$B$27)+C68-F68)))</f>
      </c>
      <c r="H68" s="3">
        <f>IF($B$22&lt;&gt;"Ready","",IF($B$6+31&gt;=$B$8,"",ROUND(IF(ABS((MAX(0,F68-(B68*(1+$B$27)+C68))*100)-(INT(MAX(0,F68-(B68*(1+$B$27)+C68))*100)+0.5))&lt;=MIN(0.0000001,4*2.220446049250313E-16*MAX(1,ABS(F68),ABS(B68*(1+$B$27)+C68))*100),(INT(MAX(0,F68-(B68*(1+$B$27)+C68))*100)+0.5),MAX(0,F68-(B68*(1+$B$27)+C68))*100),0)/100))</f>
      </c>
      <c r="I68" s="0">
        <f>IF($B$22&lt;&gt;"Ready","",IF($B$6+31&gt;=$B$8,"",IF(I67&lt;&gt;"",I67,IF(H68&gt;0,A68+1,""))))</f>
      </c>
    </row>
    <row r="69" ht="15" customHeight="1">
      <c r="A69" s="0">
        <f>IF($B$22&lt;&gt;"Ready","",IF($B$6+32&gt;=$B$8,"",$B$6+32))</f>
      </c>
      <c r="B69" s="3">
        <f>IF($B$22&lt;&gt;"Ready","",IF($B$6+32&gt;=$B$8,"",G68))</f>
      </c>
      <c r="C69" s="3">
        <f>IF($B$22&lt;&gt;"Ready","",IF($B$6+32&gt;=$B$8,"",IF(A69&lt;$B$7,12*($B$10+$B$11),0)))</f>
      </c>
      <c r="D69" s="3">
        <f>IF($B$22&lt;&gt;"Ready","",IF($B$6+32&gt;=$B$8,"",IF(A69&lt;$B$7,0,12*(IF($B$13&gt;0,IF(A69&gt;=$B$14,$B$13,0),0)+IF($B$15&gt;0,IF(A69&gt;=$B$16,$B$15,0),0)))))</f>
      </c>
      <c r="E69" s="3">
        <f>IF($B$22&lt;&gt;"Ready","",IF($B$6+32&gt;=$B$8,"",IF(A69&lt;$B$7,0,12*$B$12)))</f>
      </c>
      <c r="F69" s="3">
        <f>IF($B$22&lt;&gt;"Ready","",IF($B$6+32&gt;=$B$8,"",MAX(0,E69-D69)))</f>
      </c>
      <c r="G69" s="3">
        <f>IF($B$22&lt;&gt;"Ready","",IF($B$6+32&gt;=$B$8,"",MAX(0,B69*(1+$B$27)+C69-F69)))</f>
      </c>
      <c r="H69" s="3">
        <f>IF($B$22&lt;&gt;"Ready","",IF($B$6+32&gt;=$B$8,"",ROUND(IF(ABS((MAX(0,F69-(B69*(1+$B$27)+C69))*100)-(INT(MAX(0,F69-(B69*(1+$B$27)+C69))*100)+0.5))&lt;=MIN(0.0000001,4*2.220446049250313E-16*MAX(1,ABS(F69),ABS(B69*(1+$B$27)+C69))*100),(INT(MAX(0,F69-(B69*(1+$B$27)+C69))*100)+0.5),MAX(0,F69-(B69*(1+$B$27)+C69))*100),0)/100))</f>
      </c>
      <c r="I69" s="0">
        <f>IF($B$22&lt;&gt;"Ready","",IF($B$6+32&gt;=$B$8,"",IF(I68&lt;&gt;"",I68,IF(H69&gt;0,A69+1,""))))</f>
      </c>
    </row>
    <row r="70" ht="15" customHeight="1">
      <c r="A70" s="0">
        <f>IF($B$22&lt;&gt;"Ready","",IF($B$6+33&gt;=$B$8,"",$B$6+33))</f>
      </c>
      <c r="B70" s="3">
        <f>IF($B$22&lt;&gt;"Ready","",IF($B$6+33&gt;=$B$8,"",G69))</f>
      </c>
      <c r="C70" s="3">
        <f>IF($B$22&lt;&gt;"Ready","",IF($B$6+33&gt;=$B$8,"",IF(A70&lt;$B$7,12*($B$10+$B$11),0)))</f>
      </c>
      <c r="D70" s="3">
        <f>IF($B$22&lt;&gt;"Ready","",IF($B$6+33&gt;=$B$8,"",IF(A70&lt;$B$7,0,12*(IF($B$13&gt;0,IF(A70&gt;=$B$14,$B$13,0),0)+IF($B$15&gt;0,IF(A70&gt;=$B$16,$B$15,0),0)))))</f>
      </c>
      <c r="E70" s="3">
        <f>IF($B$22&lt;&gt;"Ready","",IF($B$6+33&gt;=$B$8,"",IF(A70&lt;$B$7,0,12*$B$12)))</f>
      </c>
      <c r="F70" s="3">
        <f>IF($B$22&lt;&gt;"Ready","",IF($B$6+33&gt;=$B$8,"",MAX(0,E70-D70)))</f>
      </c>
      <c r="G70" s="3">
        <f>IF($B$22&lt;&gt;"Ready","",IF($B$6+33&gt;=$B$8,"",MAX(0,B70*(1+$B$27)+C70-F70)))</f>
      </c>
      <c r="H70" s="3">
        <f>IF($B$22&lt;&gt;"Ready","",IF($B$6+33&gt;=$B$8,"",ROUND(IF(ABS((MAX(0,F70-(B70*(1+$B$27)+C70))*100)-(INT(MAX(0,F70-(B70*(1+$B$27)+C70))*100)+0.5))&lt;=MIN(0.0000001,4*2.220446049250313E-16*MAX(1,ABS(F70),ABS(B70*(1+$B$27)+C70))*100),(INT(MAX(0,F70-(B70*(1+$B$27)+C70))*100)+0.5),MAX(0,F70-(B70*(1+$B$27)+C70))*100),0)/100))</f>
      </c>
      <c r="I70" s="0">
        <f>IF($B$22&lt;&gt;"Ready","",IF($B$6+33&gt;=$B$8,"",IF(I69&lt;&gt;"",I69,IF(H70&gt;0,A70+1,""))))</f>
      </c>
    </row>
    <row r="71" ht="15" customHeight="1">
      <c r="A71" s="0">
        <f>IF($B$22&lt;&gt;"Ready","",IF($B$6+34&gt;=$B$8,"",$B$6+34))</f>
      </c>
      <c r="B71" s="3">
        <f>IF($B$22&lt;&gt;"Ready","",IF($B$6+34&gt;=$B$8,"",G70))</f>
      </c>
      <c r="C71" s="3">
        <f>IF($B$22&lt;&gt;"Ready","",IF($B$6+34&gt;=$B$8,"",IF(A71&lt;$B$7,12*($B$10+$B$11),0)))</f>
      </c>
      <c r="D71" s="3">
        <f>IF($B$22&lt;&gt;"Ready","",IF($B$6+34&gt;=$B$8,"",IF(A71&lt;$B$7,0,12*(IF($B$13&gt;0,IF(A71&gt;=$B$14,$B$13,0),0)+IF($B$15&gt;0,IF(A71&gt;=$B$16,$B$15,0),0)))))</f>
      </c>
      <c r="E71" s="3">
        <f>IF($B$22&lt;&gt;"Ready","",IF($B$6+34&gt;=$B$8,"",IF(A71&lt;$B$7,0,12*$B$12)))</f>
      </c>
      <c r="F71" s="3">
        <f>IF($B$22&lt;&gt;"Ready","",IF($B$6+34&gt;=$B$8,"",MAX(0,E71-D71)))</f>
      </c>
      <c r="G71" s="3">
        <f>IF($B$22&lt;&gt;"Ready","",IF($B$6+34&gt;=$B$8,"",MAX(0,B71*(1+$B$27)+C71-F71)))</f>
      </c>
      <c r="H71" s="3">
        <f>IF($B$22&lt;&gt;"Ready","",IF($B$6+34&gt;=$B$8,"",ROUND(IF(ABS((MAX(0,F71-(B71*(1+$B$27)+C71))*100)-(INT(MAX(0,F71-(B71*(1+$B$27)+C71))*100)+0.5))&lt;=MIN(0.0000001,4*2.220446049250313E-16*MAX(1,ABS(F71),ABS(B71*(1+$B$27)+C71))*100),(INT(MAX(0,F71-(B71*(1+$B$27)+C71))*100)+0.5),MAX(0,F71-(B71*(1+$B$27)+C71))*100),0)/100))</f>
      </c>
      <c r="I71" s="0">
        <f>IF($B$22&lt;&gt;"Ready","",IF($B$6+34&gt;=$B$8,"",IF(I70&lt;&gt;"",I70,IF(H71&gt;0,A71+1,""))))</f>
      </c>
    </row>
    <row r="72" ht="15" customHeight="1">
      <c r="A72" s="0">
        <f>IF($B$22&lt;&gt;"Ready","",IF($B$6+35&gt;=$B$8,"",$B$6+35))</f>
      </c>
      <c r="B72" s="3">
        <f>IF($B$22&lt;&gt;"Ready","",IF($B$6+35&gt;=$B$8,"",G71))</f>
      </c>
      <c r="C72" s="3">
        <f>IF($B$22&lt;&gt;"Ready","",IF($B$6+35&gt;=$B$8,"",IF(A72&lt;$B$7,12*($B$10+$B$11),0)))</f>
      </c>
      <c r="D72" s="3">
        <f>IF($B$22&lt;&gt;"Ready","",IF($B$6+35&gt;=$B$8,"",IF(A72&lt;$B$7,0,12*(IF($B$13&gt;0,IF(A72&gt;=$B$14,$B$13,0),0)+IF($B$15&gt;0,IF(A72&gt;=$B$16,$B$15,0),0)))))</f>
      </c>
      <c r="E72" s="3">
        <f>IF($B$22&lt;&gt;"Ready","",IF($B$6+35&gt;=$B$8,"",IF(A72&lt;$B$7,0,12*$B$12)))</f>
      </c>
      <c r="F72" s="3">
        <f>IF($B$22&lt;&gt;"Ready","",IF($B$6+35&gt;=$B$8,"",MAX(0,E72-D72)))</f>
      </c>
      <c r="G72" s="3">
        <f>IF($B$22&lt;&gt;"Ready","",IF($B$6+35&gt;=$B$8,"",MAX(0,B72*(1+$B$27)+C72-F72)))</f>
      </c>
      <c r="H72" s="3">
        <f>IF($B$22&lt;&gt;"Ready","",IF($B$6+35&gt;=$B$8,"",ROUND(IF(ABS((MAX(0,F72-(B72*(1+$B$27)+C72))*100)-(INT(MAX(0,F72-(B72*(1+$B$27)+C72))*100)+0.5))&lt;=MIN(0.0000001,4*2.220446049250313E-16*MAX(1,ABS(F72),ABS(B72*(1+$B$27)+C72))*100),(INT(MAX(0,F72-(B72*(1+$B$27)+C72))*100)+0.5),MAX(0,F72-(B72*(1+$B$27)+C72))*100),0)/100))</f>
      </c>
      <c r="I72" s="0">
        <f>IF($B$22&lt;&gt;"Ready","",IF($B$6+35&gt;=$B$8,"",IF(I71&lt;&gt;"",I71,IF(H72&gt;0,A72+1,""))))</f>
      </c>
    </row>
    <row r="73" ht="15" customHeight="1">
      <c r="A73" s="0">
        <f>IF($B$22&lt;&gt;"Ready","",IF($B$6+36&gt;=$B$8,"",$B$6+36))</f>
      </c>
      <c r="B73" s="3">
        <f>IF($B$22&lt;&gt;"Ready","",IF($B$6+36&gt;=$B$8,"",G72))</f>
      </c>
      <c r="C73" s="3">
        <f>IF($B$22&lt;&gt;"Ready","",IF($B$6+36&gt;=$B$8,"",IF(A73&lt;$B$7,12*($B$10+$B$11),0)))</f>
      </c>
      <c r="D73" s="3">
        <f>IF($B$22&lt;&gt;"Ready","",IF($B$6+36&gt;=$B$8,"",IF(A73&lt;$B$7,0,12*(IF($B$13&gt;0,IF(A73&gt;=$B$14,$B$13,0),0)+IF($B$15&gt;0,IF(A73&gt;=$B$16,$B$15,0),0)))))</f>
      </c>
      <c r="E73" s="3">
        <f>IF($B$22&lt;&gt;"Ready","",IF($B$6+36&gt;=$B$8,"",IF(A73&lt;$B$7,0,12*$B$12)))</f>
      </c>
      <c r="F73" s="3">
        <f>IF($B$22&lt;&gt;"Ready","",IF($B$6+36&gt;=$B$8,"",MAX(0,E73-D73)))</f>
      </c>
      <c r="G73" s="3">
        <f>IF($B$22&lt;&gt;"Ready","",IF($B$6+36&gt;=$B$8,"",MAX(0,B73*(1+$B$27)+C73-F73)))</f>
      </c>
      <c r="H73" s="3">
        <f>IF($B$22&lt;&gt;"Ready","",IF($B$6+36&gt;=$B$8,"",ROUND(IF(ABS((MAX(0,F73-(B73*(1+$B$27)+C73))*100)-(INT(MAX(0,F73-(B73*(1+$B$27)+C73))*100)+0.5))&lt;=MIN(0.0000001,4*2.220446049250313E-16*MAX(1,ABS(F73),ABS(B73*(1+$B$27)+C73))*100),(INT(MAX(0,F73-(B73*(1+$B$27)+C73))*100)+0.5),MAX(0,F73-(B73*(1+$B$27)+C73))*100),0)/100))</f>
      </c>
      <c r="I73" s="0">
        <f>IF($B$22&lt;&gt;"Ready","",IF($B$6+36&gt;=$B$8,"",IF(I72&lt;&gt;"",I72,IF(H73&gt;0,A73+1,""))))</f>
      </c>
    </row>
    <row r="74" ht="15" customHeight="1">
      <c r="A74" s="0">
        <f>IF($B$22&lt;&gt;"Ready","",IF($B$6+37&gt;=$B$8,"",$B$6+37))</f>
      </c>
      <c r="B74" s="3">
        <f>IF($B$22&lt;&gt;"Ready","",IF($B$6+37&gt;=$B$8,"",G73))</f>
      </c>
      <c r="C74" s="3">
        <f>IF($B$22&lt;&gt;"Ready","",IF($B$6+37&gt;=$B$8,"",IF(A74&lt;$B$7,12*($B$10+$B$11),0)))</f>
      </c>
      <c r="D74" s="3">
        <f>IF($B$22&lt;&gt;"Ready","",IF($B$6+37&gt;=$B$8,"",IF(A74&lt;$B$7,0,12*(IF($B$13&gt;0,IF(A74&gt;=$B$14,$B$13,0),0)+IF($B$15&gt;0,IF(A74&gt;=$B$16,$B$15,0),0)))))</f>
      </c>
      <c r="E74" s="3">
        <f>IF($B$22&lt;&gt;"Ready","",IF($B$6+37&gt;=$B$8,"",IF(A74&lt;$B$7,0,12*$B$12)))</f>
      </c>
      <c r="F74" s="3">
        <f>IF($B$22&lt;&gt;"Ready","",IF($B$6+37&gt;=$B$8,"",MAX(0,E74-D74)))</f>
      </c>
      <c r="G74" s="3">
        <f>IF($B$22&lt;&gt;"Ready","",IF($B$6+37&gt;=$B$8,"",MAX(0,B74*(1+$B$27)+C74-F74)))</f>
      </c>
      <c r="H74" s="3">
        <f>IF($B$22&lt;&gt;"Ready","",IF($B$6+37&gt;=$B$8,"",ROUND(IF(ABS((MAX(0,F74-(B74*(1+$B$27)+C74))*100)-(INT(MAX(0,F74-(B74*(1+$B$27)+C74))*100)+0.5))&lt;=MIN(0.0000001,4*2.220446049250313E-16*MAX(1,ABS(F74),ABS(B74*(1+$B$27)+C74))*100),(INT(MAX(0,F74-(B74*(1+$B$27)+C74))*100)+0.5),MAX(0,F74-(B74*(1+$B$27)+C74))*100),0)/100))</f>
      </c>
      <c r="I74" s="0">
        <f>IF($B$22&lt;&gt;"Ready","",IF($B$6+37&gt;=$B$8,"",IF(I73&lt;&gt;"",I73,IF(H74&gt;0,A74+1,""))))</f>
      </c>
    </row>
    <row r="75" ht="15" customHeight="1">
      <c r="A75" s="0">
        <f>IF($B$22&lt;&gt;"Ready","",IF($B$6+38&gt;=$B$8,"",$B$6+38))</f>
      </c>
      <c r="B75" s="3">
        <f>IF($B$22&lt;&gt;"Ready","",IF($B$6+38&gt;=$B$8,"",G74))</f>
      </c>
      <c r="C75" s="3">
        <f>IF($B$22&lt;&gt;"Ready","",IF($B$6+38&gt;=$B$8,"",IF(A75&lt;$B$7,12*($B$10+$B$11),0)))</f>
      </c>
      <c r="D75" s="3">
        <f>IF($B$22&lt;&gt;"Ready","",IF($B$6+38&gt;=$B$8,"",IF(A75&lt;$B$7,0,12*(IF($B$13&gt;0,IF(A75&gt;=$B$14,$B$13,0),0)+IF($B$15&gt;0,IF(A75&gt;=$B$16,$B$15,0),0)))))</f>
      </c>
      <c r="E75" s="3">
        <f>IF($B$22&lt;&gt;"Ready","",IF($B$6+38&gt;=$B$8,"",IF(A75&lt;$B$7,0,12*$B$12)))</f>
      </c>
      <c r="F75" s="3">
        <f>IF($B$22&lt;&gt;"Ready","",IF($B$6+38&gt;=$B$8,"",MAX(0,E75-D75)))</f>
      </c>
      <c r="G75" s="3">
        <f>IF($B$22&lt;&gt;"Ready","",IF($B$6+38&gt;=$B$8,"",MAX(0,B75*(1+$B$27)+C75-F75)))</f>
      </c>
      <c r="H75" s="3">
        <f>IF($B$22&lt;&gt;"Ready","",IF($B$6+38&gt;=$B$8,"",ROUND(IF(ABS((MAX(0,F75-(B75*(1+$B$27)+C75))*100)-(INT(MAX(0,F75-(B75*(1+$B$27)+C75))*100)+0.5))&lt;=MIN(0.0000001,4*2.220446049250313E-16*MAX(1,ABS(F75),ABS(B75*(1+$B$27)+C75))*100),(INT(MAX(0,F75-(B75*(1+$B$27)+C75))*100)+0.5),MAX(0,F75-(B75*(1+$B$27)+C75))*100),0)/100))</f>
      </c>
      <c r="I75" s="0">
        <f>IF($B$22&lt;&gt;"Ready","",IF($B$6+38&gt;=$B$8,"",IF(I74&lt;&gt;"",I74,IF(H75&gt;0,A75+1,""))))</f>
      </c>
    </row>
    <row r="76" ht="15" customHeight="1">
      <c r="A76" s="0">
        <f>IF($B$22&lt;&gt;"Ready","",IF($B$6+39&gt;=$B$8,"",$B$6+39))</f>
      </c>
      <c r="B76" s="3">
        <f>IF($B$22&lt;&gt;"Ready","",IF($B$6+39&gt;=$B$8,"",G75))</f>
      </c>
      <c r="C76" s="3">
        <f>IF($B$22&lt;&gt;"Ready","",IF($B$6+39&gt;=$B$8,"",IF(A76&lt;$B$7,12*($B$10+$B$11),0)))</f>
      </c>
      <c r="D76" s="3">
        <f>IF($B$22&lt;&gt;"Ready","",IF($B$6+39&gt;=$B$8,"",IF(A76&lt;$B$7,0,12*(IF($B$13&gt;0,IF(A76&gt;=$B$14,$B$13,0),0)+IF($B$15&gt;0,IF(A76&gt;=$B$16,$B$15,0),0)))))</f>
      </c>
      <c r="E76" s="3">
        <f>IF($B$22&lt;&gt;"Ready","",IF($B$6+39&gt;=$B$8,"",IF(A76&lt;$B$7,0,12*$B$12)))</f>
      </c>
      <c r="F76" s="3">
        <f>IF($B$22&lt;&gt;"Ready","",IF($B$6+39&gt;=$B$8,"",MAX(0,E76-D76)))</f>
      </c>
      <c r="G76" s="3">
        <f>IF($B$22&lt;&gt;"Ready","",IF($B$6+39&gt;=$B$8,"",MAX(0,B76*(1+$B$27)+C76-F76)))</f>
      </c>
      <c r="H76" s="3">
        <f>IF($B$22&lt;&gt;"Ready","",IF($B$6+39&gt;=$B$8,"",ROUND(IF(ABS((MAX(0,F76-(B76*(1+$B$27)+C76))*100)-(INT(MAX(0,F76-(B76*(1+$B$27)+C76))*100)+0.5))&lt;=MIN(0.0000001,4*2.220446049250313E-16*MAX(1,ABS(F76),ABS(B76*(1+$B$27)+C76))*100),(INT(MAX(0,F76-(B76*(1+$B$27)+C76))*100)+0.5),MAX(0,F76-(B76*(1+$B$27)+C76))*100),0)/100))</f>
      </c>
      <c r="I76" s="0">
        <f>IF($B$22&lt;&gt;"Ready","",IF($B$6+39&gt;=$B$8,"",IF(I75&lt;&gt;"",I75,IF(H76&gt;0,A76+1,""))))</f>
      </c>
    </row>
    <row r="77" ht="15" customHeight="1">
      <c r="A77" s="0">
        <f>IF($B$22&lt;&gt;"Ready","",IF($B$6+40&gt;=$B$8,"",$B$6+40))</f>
      </c>
      <c r="B77" s="3">
        <f>IF($B$22&lt;&gt;"Ready","",IF($B$6+40&gt;=$B$8,"",G76))</f>
      </c>
      <c r="C77" s="3">
        <f>IF($B$22&lt;&gt;"Ready","",IF($B$6+40&gt;=$B$8,"",IF(A77&lt;$B$7,12*($B$10+$B$11),0)))</f>
      </c>
      <c r="D77" s="3">
        <f>IF($B$22&lt;&gt;"Ready","",IF($B$6+40&gt;=$B$8,"",IF(A77&lt;$B$7,0,12*(IF($B$13&gt;0,IF(A77&gt;=$B$14,$B$13,0),0)+IF($B$15&gt;0,IF(A77&gt;=$B$16,$B$15,0),0)))))</f>
      </c>
      <c r="E77" s="3">
        <f>IF($B$22&lt;&gt;"Ready","",IF($B$6+40&gt;=$B$8,"",IF(A77&lt;$B$7,0,12*$B$12)))</f>
      </c>
      <c r="F77" s="3">
        <f>IF($B$22&lt;&gt;"Ready","",IF($B$6+40&gt;=$B$8,"",MAX(0,E77-D77)))</f>
      </c>
      <c r="G77" s="3">
        <f>IF($B$22&lt;&gt;"Ready","",IF($B$6+40&gt;=$B$8,"",MAX(0,B77*(1+$B$27)+C77-F77)))</f>
      </c>
      <c r="H77" s="3">
        <f>IF($B$22&lt;&gt;"Ready","",IF($B$6+40&gt;=$B$8,"",ROUND(IF(ABS((MAX(0,F77-(B77*(1+$B$27)+C77))*100)-(INT(MAX(0,F77-(B77*(1+$B$27)+C77))*100)+0.5))&lt;=MIN(0.0000001,4*2.220446049250313E-16*MAX(1,ABS(F77),ABS(B77*(1+$B$27)+C77))*100),(INT(MAX(0,F77-(B77*(1+$B$27)+C77))*100)+0.5),MAX(0,F77-(B77*(1+$B$27)+C77))*100),0)/100))</f>
      </c>
      <c r="I77" s="0">
        <f>IF($B$22&lt;&gt;"Ready","",IF($B$6+40&gt;=$B$8,"",IF(I76&lt;&gt;"",I76,IF(H77&gt;0,A77+1,""))))</f>
      </c>
    </row>
    <row r="78" ht="15" customHeight="1">
      <c r="A78" s="0">
        <f>IF($B$22&lt;&gt;"Ready","",IF($B$6+41&gt;=$B$8,"",$B$6+41))</f>
      </c>
      <c r="B78" s="3">
        <f>IF($B$22&lt;&gt;"Ready","",IF($B$6+41&gt;=$B$8,"",G77))</f>
      </c>
      <c r="C78" s="3">
        <f>IF($B$22&lt;&gt;"Ready","",IF($B$6+41&gt;=$B$8,"",IF(A78&lt;$B$7,12*($B$10+$B$11),0)))</f>
      </c>
      <c r="D78" s="3">
        <f>IF($B$22&lt;&gt;"Ready","",IF($B$6+41&gt;=$B$8,"",IF(A78&lt;$B$7,0,12*(IF($B$13&gt;0,IF(A78&gt;=$B$14,$B$13,0),0)+IF($B$15&gt;0,IF(A78&gt;=$B$16,$B$15,0),0)))))</f>
      </c>
      <c r="E78" s="3">
        <f>IF($B$22&lt;&gt;"Ready","",IF($B$6+41&gt;=$B$8,"",IF(A78&lt;$B$7,0,12*$B$12)))</f>
      </c>
      <c r="F78" s="3">
        <f>IF($B$22&lt;&gt;"Ready","",IF($B$6+41&gt;=$B$8,"",MAX(0,E78-D78)))</f>
      </c>
      <c r="G78" s="3">
        <f>IF($B$22&lt;&gt;"Ready","",IF($B$6+41&gt;=$B$8,"",MAX(0,B78*(1+$B$27)+C78-F78)))</f>
      </c>
      <c r="H78" s="3">
        <f>IF($B$22&lt;&gt;"Ready","",IF($B$6+41&gt;=$B$8,"",ROUND(IF(ABS((MAX(0,F78-(B78*(1+$B$27)+C78))*100)-(INT(MAX(0,F78-(B78*(1+$B$27)+C78))*100)+0.5))&lt;=MIN(0.0000001,4*2.220446049250313E-16*MAX(1,ABS(F78),ABS(B78*(1+$B$27)+C78))*100),(INT(MAX(0,F78-(B78*(1+$B$27)+C78))*100)+0.5),MAX(0,F78-(B78*(1+$B$27)+C78))*100),0)/100))</f>
      </c>
      <c r="I78" s="0">
        <f>IF($B$22&lt;&gt;"Ready","",IF($B$6+41&gt;=$B$8,"",IF(I77&lt;&gt;"",I77,IF(H78&gt;0,A78+1,""))))</f>
      </c>
    </row>
    <row r="79" ht="15" customHeight="1">
      <c r="A79" s="0">
        <f>IF($B$22&lt;&gt;"Ready","",IF($B$6+42&gt;=$B$8,"",$B$6+42))</f>
      </c>
      <c r="B79" s="3">
        <f>IF($B$22&lt;&gt;"Ready","",IF($B$6+42&gt;=$B$8,"",G78))</f>
      </c>
      <c r="C79" s="3">
        <f>IF($B$22&lt;&gt;"Ready","",IF($B$6+42&gt;=$B$8,"",IF(A79&lt;$B$7,12*($B$10+$B$11),0)))</f>
      </c>
      <c r="D79" s="3">
        <f>IF($B$22&lt;&gt;"Ready","",IF($B$6+42&gt;=$B$8,"",IF(A79&lt;$B$7,0,12*(IF($B$13&gt;0,IF(A79&gt;=$B$14,$B$13,0),0)+IF($B$15&gt;0,IF(A79&gt;=$B$16,$B$15,0),0)))))</f>
      </c>
      <c r="E79" s="3">
        <f>IF($B$22&lt;&gt;"Ready","",IF($B$6+42&gt;=$B$8,"",IF(A79&lt;$B$7,0,12*$B$12)))</f>
      </c>
      <c r="F79" s="3">
        <f>IF($B$22&lt;&gt;"Ready","",IF($B$6+42&gt;=$B$8,"",MAX(0,E79-D79)))</f>
      </c>
      <c r="G79" s="3">
        <f>IF($B$22&lt;&gt;"Ready","",IF($B$6+42&gt;=$B$8,"",MAX(0,B79*(1+$B$27)+C79-F79)))</f>
      </c>
      <c r="H79" s="3">
        <f>IF($B$22&lt;&gt;"Ready","",IF($B$6+42&gt;=$B$8,"",ROUND(IF(ABS((MAX(0,F79-(B79*(1+$B$27)+C79))*100)-(INT(MAX(0,F79-(B79*(1+$B$27)+C79))*100)+0.5))&lt;=MIN(0.0000001,4*2.220446049250313E-16*MAX(1,ABS(F79),ABS(B79*(1+$B$27)+C79))*100),(INT(MAX(0,F79-(B79*(1+$B$27)+C79))*100)+0.5),MAX(0,F79-(B79*(1+$B$27)+C79))*100),0)/100))</f>
      </c>
      <c r="I79" s="0">
        <f>IF($B$22&lt;&gt;"Ready","",IF($B$6+42&gt;=$B$8,"",IF(I78&lt;&gt;"",I78,IF(H79&gt;0,A79+1,""))))</f>
      </c>
    </row>
    <row r="80" ht="15" customHeight="1">
      <c r="A80" s="0">
        <f>IF($B$22&lt;&gt;"Ready","",IF($B$6+43&gt;=$B$8,"",$B$6+43))</f>
      </c>
      <c r="B80" s="3">
        <f>IF($B$22&lt;&gt;"Ready","",IF($B$6+43&gt;=$B$8,"",G79))</f>
      </c>
      <c r="C80" s="3">
        <f>IF($B$22&lt;&gt;"Ready","",IF($B$6+43&gt;=$B$8,"",IF(A80&lt;$B$7,12*($B$10+$B$11),0)))</f>
      </c>
      <c r="D80" s="3">
        <f>IF($B$22&lt;&gt;"Ready","",IF($B$6+43&gt;=$B$8,"",IF(A80&lt;$B$7,0,12*(IF($B$13&gt;0,IF(A80&gt;=$B$14,$B$13,0),0)+IF($B$15&gt;0,IF(A80&gt;=$B$16,$B$15,0),0)))))</f>
      </c>
      <c r="E80" s="3">
        <f>IF($B$22&lt;&gt;"Ready","",IF($B$6+43&gt;=$B$8,"",IF(A80&lt;$B$7,0,12*$B$12)))</f>
      </c>
      <c r="F80" s="3">
        <f>IF($B$22&lt;&gt;"Ready","",IF($B$6+43&gt;=$B$8,"",MAX(0,E80-D80)))</f>
      </c>
      <c r="G80" s="3">
        <f>IF($B$22&lt;&gt;"Ready","",IF($B$6+43&gt;=$B$8,"",MAX(0,B80*(1+$B$27)+C80-F80)))</f>
      </c>
      <c r="H80" s="3">
        <f>IF($B$22&lt;&gt;"Ready","",IF($B$6+43&gt;=$B$8,"",ROUND(IF(ABS((MAX(0,F80-(B80*(1+$B$27)+C80))*100)-(INT(MAX(0,F80-(B80*(1+$B$27)+C80))*100)+0.5))&lt;=MIN(0.0000001,4*2.220446049250313E-16*MAX(1,ABS(F80),ABS(B80*(1+$B$27)+C80))*100),(INT(MAX(0,F80-(B80*(1+$B$27)+C80))*100)+0.5),MAX(0,F80-(B80*(1+$B$27)+C80))*100),0)/100))</f>
      </c>
      <c r="I80" s="0">
        <f>IF($B$22&lt;&gt;"Ready","",IF($B$6+43&gt;=$B$8,"",IF(I79&lt;&gt;"",I79,IF(H80&gt;0,A80+1,""))))</f>
      </c>
    </row>
    <row r="81" ht="15" customHeight="1">
      <c r="A81" s="0">
        <f>IF($B$22&lt;&gt;"Ready","",IF($B$6+44&gt;=$B$8,"",$B$6+44))</f>
      </c>
      <c r="B81" s="3">
        <f>IF($B$22&lt;&gt;"Ready","",IF($B$6+44&gt;=$B$8,"",G80))</f>
      </c>
      <c r="C81" s="3">
        <f>IF($B$22&lt;&gt;"Ready","",IF($B$6+44&gt;=$B$8,"",IF(A81&lt;$B$7,12*($B$10+$B$11),0)))</f>
      </c>
      <c r="D81" s="3">
        <f>IF($B$22&lt;&gt;"Ready","",IF($B$6+44&gt;=$B$8,"",IF(A81&lt;$B$7,0,12*(IF($B$13&gt;0,IF(A81&gt;=$B$14,$B$13,0),0)+IF($B$15&gt;0,IF(A81&gt;=$B$16,$B$15,0),0)))))</f>
      </c>
      <c r="E81" s="3">
        <f>IF($B$22&lt;&gt;"Ready","",IF($B$6+44&gt;=$B$8,"",IF(A81&lt;$B$7,0,12*$B$12)))</f>
      </c>
      <c r="F81" s="3">
        <f>IF($B$22&lt;&gt;"Ready","",IF($B$6+44&gt;=$B$8,"",MAX(0,E81-D81)))</f>
      </c>
      <c r="G81" s="3">
        <f>IF($B$22&lt;&gt;"Ready","",IF($B$6+44&gt;=$B$8,"",MAX(0,B81*(1+$B$27)+C81-F81)))</f>
      </c>
      <c r="H81" s="3">
        <f>IF($B$22&lt;&gt;"Ready","",IF($B$6+44&gt;=$B$8,"",ROUND(IF(ABS((MAX(0,F81-(B81*(1+$B$27)+C81))*100)-(INT(MAX(0,F81-(B81*(1+$B$27)+C81))*100)+0.5))&lt;=MIN(0.0000001,4*2.220446049250313E-16*MAX(1,ABS(F81),ABS(B81*(1+$B$27)+C81))*100),(INT(MAX(0,F81-(B81*(1+$B$27)+C81))*100)+0.5),MAX(0,F81-(B81*(1+$B$27)+C81))*100),0)/100))</f>
      </c>
      <c r="I81" s="0">
        <f>IF($B$22&lt;&gt;"Ready","",IF($B$6+44&gt;=$B$8,"",IF(I80&lt;&gt;"",I80,IF(H81&gt;0,A81+1,""))))</f>
      </c>
    </row>
    <row r="82" ht="15" customHeight="1">
      <c r="A82" s="0">
        <f>IF($B$22&lt;&gt;"Ready","",IF($B$6+45&gt;=$B$8,"",$B$6+45))</f>
      </c>
      <c r="B82" s="3">
        <f>IF($B$22&lt;&gt;"Ready","",IF($B$6+45&gt;=$B$8,"",G81))</f>
      </c>
      <c r="C82" s="3">
        <f>IF($B$22&lt;&gt;"Ready","",IF($B$6+45&gt;=$B$8,"",IF(A82&lt;$B$7,12*($B$10+$B$11),0)))</f>
      </c>
      <c r="D82" s="3">
        <f>IF($B$22&lt;&gt;"Ready","",IF($B$6+45&gt;=$B$8,"",IF(A82&lt;$B$7,0,12*(IF($B$13&gt;0,IF(A82&gt;=$B$14,$B$13,0),0)+IF($B$15&gt;0,IF(A82&gt;=$B$16,$B$15,0),0)))))</f>
      </c>
      <c r="E82" s="3">
        <f>IF($B$22&lt;&gt;"Ready","",IF($B$6+45&gt;=$B$8,"",IF(A82&lt;$B$7,0,12*$B$12)))</f>
      </c>
      <c r="F82" s="3">
        <f>IF($B$22&lt;&gt;"Ready","",IF($B$6+45&gt;=$B$8,"",MAX(0,E82-D82)))</f>
      </c>
      <c r="G82" s="3">
        <f>IF($B$22&lt;&gt;"Ready","",IF($B$6+45&gt;=$B$8,"",MAX(0,B82*(1+$B$27)+C82-F82)))</f>
      </c>
      <c r="H82" s="3">
        <f>IF($B$22&lt;&gt;"Ready","",IF($B$6+45&gt;=$B$8,"",ROUND(IF(ABS((MAX(0,F82-(B82*(1+$B$27)+C82))*100)-(INT(MAX(0,F82-(B82*(1+$B$27)+C82))*100)+0.5))&lt;=MIN(0.0000001,4*2.220446049250313E-16*MAX(1,ABS(F82),ABS(B82*(1+$B$27)+C82))*100),(INT(MAX(0,F82-(B82*(1+$B$27)+C82))*100)+0.5),MAX(0,F82-(B82*(1+$B$27)+C82))*100),0)/100))</f>
      </c>
      <c r="I82" s="0">
        <f>IF($B$22&lt;&gt;"Ready","",IF($B$6+45&gt;=$B$8,"",IF(I81&lt;&gt;"",I81,IF(H82&gt;0,A82+1,""))))</f>
      </c>
    </row>
    <row r="83" ht="15" customHeight="1">
      <c r="A83" s="0">
        <f>IF($B$22&lt;&gt;"Ready","",IF($B$6+46&gt;=$B$8,"",$B$6+46))</f>
      </c>
      <c r="B83" s="3">
        <f>IF($B$22&lt;&gt;"Ready","",IF($B$6+46&gt;=$B$8,"",G82))</f>
      </c>
      <c r="C83" s="3">
        <f>IF($B$22&lt;&gt;"Ready","",IF($B$6+46&gt;=$B$8,"",IF(A83&lt;$B$7,12*($B$10+$B$11),0)))</f>
      </c>
      <c r="D83" s="3">
        <f>IF($B$22&lt;&gt;"Ready","",IF($B$6+46&gt;=$B$8,"",IF(A83&lt;$B$7,0,12*(IF($B$13&gt;0,IF(A83&gt;=$B$14,$B$13,0),0)+IF($B$15&gt;0,IF(A83&gt;=$B$16,$B$15,0),0)))))</f>
      </c>
      <c r="E83" s="3">
        <f>IF($B$22&lt;&gt;"Ready","",IF($B$6+46&gt;=$B$8,"",IF(A83&lt;$B$7,0,12*$B$12)))</f>
      </c>
      <c r="F83" s="3">
        <f>IF($B$22&lt;&gt;"Ready","",IF($B$6+46&gt;=$B$8,"",MAX(0,E83-D83)))</f>
      </c>
      <c r="G83" s="3">
        <f>IF($B$22&lt;&gt;"Ready","",IF($B$6+46&gt;=$B$8,"",MAX(0,B83*(1+$B$27)+C83-F83)))</f>
      </c>
      <c r="H83" s="3">
        <f>IF($B$22&lt;&gt;"Ready","",IF($B$6+46&gt;=$B$8,"",ROUND(IF(ABS((MAX(0,F83-(B83*(1+$B$27)+C83))*100)-(INT(MAX(0,F83-(B83*(1+$B$27)+C83))*100)+0.5))&lt;=MIN(0.0000001,4*2.220446049250313E-16*MAX(1,ABS(F83),ABS(B83*(1+$B$27)+C83))*100),(INT(MAX(0,F83-(B83*(1+$B$27)+C83))*100)+0.5),MAX(0,F83-(B83*(1+$B$27)+C83))*100),0)/100))</f>
      </c>
      <c r="I83" s="0">
        <f>IF($B$22&lt;&gt;"Ready","",IF($B$6+46&gt;=$B$8,"",IF(I82&lt;&gt;"",I82,IF(H83&gt;0,A83+1,""))))</f>
      </c>
    </row>
    <row r="84" ht="15" customHeight="1">
      <c r="A84" s="0">
        <f>IF($B$22&lt;&gt;"Ready","",IF($B$6+47&gt;=$B$8,"",$B$6+47))</f>
      </c>
      <c r="B84" s="3">
        <f>IF($B$22&lt;&gt;"Ready","",IF($B$6+47&gt;=$B$8,"",G83))</f>
      </c>
      <c r="C84" s="3">
        <f>IF($B$22&lt;&gt;"Ready","",IF($B$6+47&gt;=$B$8,"",IF(A84&lt;$B$7,12*($B$10+$B$11),0)))</f>
      </c>
      <c r="D84" s="3">
        <f>IF($B$22&lt;&gt;"Ready","",IF($B$6+47&gt;=$B$8,"",IF(A84&lt;$B$7,0,12*(IF($B$13&gt;0,IF(A84&gt;=$B$14,$B$13,0),0)+IF($B$15&gt;0,IF(A84&gt;=$B$16,$B$15,0),0)))))</f>
      </c>
      <c r="E84" s="3">
        <f>IF($B$22&lt;&gt;"Ready","",IF($B$6+47&gt;=$B$8,"",IF(A84&lt;$B$7,0,12*$B$12)))</f>
      </c>
      <c r="F84" s="3">
        <f>IF($B$22&lt;&gt;"Ready","",IF($B$6+47&gt;=$B$8,"",MAX(0,E84-D84)))</f>
      </c>
      <c r="G84" s="3">
        <f>IF($B$22&lt;&gt;"Ready","",IF($B$6+47&gt;=$B$8,"",MAX(0,B84*(1+$B$27)+C84-F84)))</f>
      </c>
      <c r="H84" s="3">
        <f>IF($B$22&lt;&gt;"Ready","",IF($B$6+47&gt;=$B$8,"",ROUND(IF(ABS((MAX(0,F84-(B84*(1+$B$27)+C84))*100)-(INT(MAX(0,F84-(B84*(1+$B$27)+C84))*100)+0.5))&lt;=MIN(0.0000001,4*2.220446049250313E-16*MAX(1,ABS(F84),ABS(B84*(1+$B$27)+C84))*100),(INT(MAX(0,F84-(B84*(1+$B$27)+C84))*100)+0.5),MAX(0,F84-(B84*(1+$B$27)+C84))*100),0)/100))</f>
      </c>
      <c r="I84" s="0">
        <f>IF($B$22&lt;&gt;"Ready","",IF($B$6+47&gt;=$B$8,"",IF(I83&lt;&gt;"",I83,IF(H84&gt;0,A84+1,""))))</f>
      </c>
    </row>
    <row r="85" ht="15" customHeight="1">
      <c r="A85" s="0">
        <f>IF($B$22&lt;&gt;"Ready","",IF($B$6+48&gt;=$B$8,"",$B$6+48))</f>
      </c>
      <c r="B85" s="3">
        <f>IF($B$22&lt;&gt;"Ready","",IF($B$6+48&gt;=$B$8,"",G84))</f>
      </c>
      <c r="C85" s="3">
        <f>IF($B$22&lt;&gt;"Ready","",IF($B$6+48&gt;=$B$8,"",IF(A85&lt;$B$7,12*($B$10+$B$11),0)))</f>
      </c>
      <c r="D85" s="3">
        <f>IF($B$22&lt;&gt;"Ready","",IF($B$6+48&gt;=$B$8,"",IF(A85&lt;$B$7,0,12*(IF($B$13&gt;0,IF(A85&gt;=$B$14,$B$13,0),0)+IF($B$15&gt;0,IF(A85&gt;=$B$16,$B$15,0),0)))))</f>
      </c>
      <c r="E85" s="3">
        <f>IF($B$22&lt;&gt;"Ready","",IF($B$6+48&gt;=$B$8,"",IF(A85&lt;$B$7,0,12*$B$12)))</f>
      </c>
      <c r="F85" s="3">
        <f>IF($B$22&lt;&gt;"Ready","",IF($B$6+48&gt;=$B$8,"",MAX(0,E85-D85)))</f>
      </c>
      <c r="G85" s="3">
        <f>IF($B$22&lt;&gt;"Ready","",IF($B$6+48&gt;=$B$8,"",MAX(0,B85*(1+$B$27)+C85-F85)))</f>
      </c>
      <c r="H85" s="3">
        <f>IF($B$22&lt;&gt;"Ready","",IF($B$6+48&gt;=$B$8,"",ROUND(IF(ABS((MAX(0,F85-(B85*(1+$B$27)+C85))*100)-(INT(MAX(0,F85-(B85*(1+$B$27)+C85))*100)+0.5))&lt;=MIN(0.0000001,4*2.220446049250313E-16*MAX(1,ABS(F85),ABS(B85*(1+$B$27)+C85))*100),(INT(MAX(0,F85-(B85*(1+$B$27)+C85))*100)+0.5),MAX(0,F85-(B85*(1+$B$27)+C85))*100),0)/100))</f>
      </c>
      <c r="I85" s="0">
        <f>IF($B$22&lt;&gt;"Ready","",IF($B$6+48&gt;=$B$8,"",IF(I84&lt;&gt;"",I84,IF(H85&gt;0,A85+1,""))))</f>
      </c>
    </row>
    <row r="86" ht="15" customHeight="1">
      <c r="A86" s="0">
        <f>IF($B$22&lt;&gt;"Ready","",IF($B$6+49&gt;=$B$8,"",$B$6+49))</f>
      </c>
      <c r="B86" s="3">
        <f>IF($B$22&lt;&gt;"Ready","",IF($B$6+49&gt;=$B$8,"",G85))</f>
      </c>
      <c r="C86" s="3">
        <f>IF($B$22&lt;&gt;"Ready","",IF($B$6+49&gt;=$B$8,"",IF(A86&lt;$B$7,12*($B$10+$B$11),0)))</f>
      </c>
      <c r="D86" s="3">
        <f>IF($B$22&lt;&gt;"Ready","",IF($B$6+49&gt;=$B$8,"",IF(A86&lt;$B$7,0,12*(IF($B$13&gt;0,IF(A86&gt;=$B$14,$B$13,0),0)+IF($B$15&gt;0,IF(A86&gt;=$B$16,$B$15,0),0)))))</f>
      </c>
      <c r="E86" s="3">
        <f>IF($B$22&lt;&gt;"Ready","",IF($B$6+49&gt;=$B$8,"",IF(A86&lt;$B$7,0,12*$B$12)))</f>
      </c>
      <c r="F86" s="3">
        <f>IF($B$22&lt;&gt;"Ready","",IF($B$6+49&gt;=$B$8,"",MAX(0,E86-D86)))</f>
      </c>
      <c r="G86" s="3">
        <f>IF($B$22&lt;&gt;"Ready","",IF($B$6+49&gt;=$B$8,"",MAX(0,B86*(1+$B$27)+C86-F86)))</f>
      </c>
      <c r="H86" s="3">
        <f>IF($B$22&lt;&gt;"Ready","",IF($B$6+49&gt;=$B$8,"",ROUND(IF(ABS((MAX(0,F86-(B86*(1+$B$27)+C86))*100)-(INT(MAX(0,F86-(B86*(1+$B$27)+C86))*100)+0.5))&lt;=MIN(0.0000001,4*2.220446049250313E-16*MAX(1,ABS(F86),ABS(B86*(1+$B$27)+C86))*100),(INT(MAX(0,F86-(B86*(1+$B$27)+C86))*100)+0.5),MAX(0,F86-(B86*(1+$B$27)+C86))*100),0)/100))</f>
      </c>
      <c r="I86" s="0">
        <f>IF($B$22&lt;&gt;"Ready","",IF($B$6+49&gt;=$B$8,"",IF(I85&lt;&gt;"",I85,IF(H86&gt;0,A86+1,""))))</f>
      </c>
    </row>
    <row r="87" ht="15" customHeight="1">
      <c r="A87" s="0">
        <f>IF($B$22&lt;&gt;"Ready","",IF($B$6+50&gt;=$B$8,"",$B$6+50))</f>
      </c>
      <c r="B87" s="3">
        <f>IF($B$22&lt;&gt;"Ready","",IF($B$6+50&gt;=$B$8,"",G86))</f>
      </c>
      <c r="C87" s="3">
        <f>IF($B$22&lt;&gt;"Ready","",IF($B$6+50&gt;=$B$8,"",IF(A87&lt;$B$7,12*($B$10+$B$11),0)))</f>
      </c>
      <c r="D87" s="3">
        <f>IF($B$22&lt;&gt;"Ready","",IF($B$6+50&gt;=$B$8,"",IF(A87&lt;$B$7,0,12*(IF($B$13&gt;0,IF(A87&gt;=$B$14,$B$13,0),0)+IF($B$15&gt;0,IF(A87&gt;=$B$16,$B$15,0),0)))))</f>
      </c>
      <c r="E87" s="3">
        <f>IF($B$22&lt;&gt;"Ready","",IF($B$6+50&gt;=$B$8,"",IF(A87&lt;$B$7,0,12*$B$12)))</f>
      </c>
      <c r="F87" s="3">
        <f>IF($B$22&lt;&gt;"Ready","",IF($B$6+50&gt;=$B$8,"",MAX(0,E87-D87)))</f>
      </c>
      <c r="G87" s="3">
        <f>IF($B$22&lt;&gt;"Ready","",IF($B$6+50&gt;=$B$8,"",MAX(0,B87*(1+$B$27)+C87-F87)))</f>
      </c>
      <c r="H87" s="3">
        <f>IF($B$22&lt;&gt;"Ready","",IF($B$6+50&gt;=$B$8,"",ROUND(IF(ABS((MAX(0,F87-(B87*(1+$B$27)+C87))*100)-(INT(MAX(0,F87-(B87*(1+$B$27)+C87))*100)+0.5))&lt;=MIN(0.0000001,4*2.220446049250313E-16*MAX(1,ABS(F87),ABS(B87*(1+$B$27)+C87))*100),(INT(MAX(0,F87-(B87*(1+$B$27)+C87))*100)+0.5),MAX(0,F87-(B87*(1+$B$27)+C87))*100),0)/100))</f>
      </c>
      <c r="I87" s="0">
        <f>IF($B$22&lt;&gt;"Ready","",IF($B$6+50&gt;=$B$8,"",IF(I86&lt;&gt;"",I86,IF(H87&gt;0,A87+1,""))))</f>
      </c>
    </row>
    <row r="88" ht="15" customHeight="1">
      <c r="A88" s="0">
        <f>IF($B$22&lt;&gt;"Ready","",IF($B$6+51&gt;=$B$8,"",$B$6+51))</f>
      </c>
      <c r="B88" s="3">
        <f>IF($B$22&lt;&gt;"Ready","",IF($B$6+51&gt;=$B$8,"",G87))</f>
      </c>
      <c r="C88" s="3">
        <f>IF($B$22&lt;&gt;"Ready","",IF($B$6+51&gt;=$B$8,"",IF(A88&lt;$B$7,12*($B$10+$B$11),0)))</f>
      </c>
      <c r="D88" s="3">
        <f>IF($B$22&lt;&gt;"Ready","",IF($B$6+51&gt;=$B$8,"",IF(A88&lt;$B$7,0,12*(IF($B$13&gt;0,IF(A88&gt;=$B$14,$B$13,0),0)+IF($B$15&gt;0,IF(A88&gt;=$B$16,$B$15,0),0)))))</f>
      </c>
      <c r="E88" s="3">
        <f>IF($B$22&lt;&gt;"Ready","",IF($B$6+51&gt;=$B$8,"",IF(A88&lt;$B$7,0,12*$B$12)))</f>
      </c>
      <c r="F88" s="3">
        <f>IF($B$22&lt;&gt;"Ready","",IF($B$6+51&gt;=$B$8,"",MAX(0,E88-D88)))</f>
      </c>
      <c r="G88" s="3">
        <f>IF($B$22&lt;&gt;"Ready","",IF($B$6+51&gt;=$B$8,"",MAX(0,B88*(1+$B$27)+C88-F88)))</f>
      </c>
      <c r="H88" s="3">
        <f>IF($B$22&lt;&gt;"Ready","",IF($B$6+51&gt;=$B$8,"",ROUND(IF(ABS((MAX(0,F88-(B88*(1+$B$27)+C88))*100)-(INT(MAX(0,F88-(B88*(1+$B$27)+C88))*100)+0.5))&lt;=MIN(0.0000001,4*2.220446049250313E-16*MAX(1,ABS(F88),ABS(B88*(1+$B$27)+C88))*100),(INT(MAX(0,F88-(B88*(1+$B$27)+C88))*100)+0.5),MAX(0,F88-(B88*(1+$B$27)+C88))*100),0)/100))</f>
      </c>
      <c r="I88" s="0">
        <f>IF($B$22&lt;&gt;"Ready","",IF($B$6+51&gt;=$B$8,"",IF(I87&lt;&gt;"",I87,IF(H88&gt;0,A88+1,""))))</f>
      </c>
    </row>
    <row r="89" ht="15" customHeight="1">
      <c r="A89" s="0">
        <f>IF($B$22&lt;&gt;"Ready","",IF($B$6+52&gt;=$B$8,"",$B$6+52))</f>
      </c>
      <c r="B89" s="3">
        <f>IF($B$22&lt;&gt;"Ready","",IF($B$6+52&gt;=$B$8,"",G88))</f>
      </c>
      <c r="C89" s="3">
        <f>IF($B$22&lt;&gt;"Ready","",IF($B$6+52&gt;=$B$8,"",IF(A89&lt;$B$7,12*($B$10+$B$11),0)))</f>
      </c>
      <c r="D89" s="3">
        <f>IF($B$22&lt;&gt;"Ready","",IF($B$6+52&gt;=$B$8,"",IF(A89&lt;$B$7,0,12*(IF($B$13&gt;0,IF(A89&gt;=$B$14,$B$13,0),0)+IF($B$15&gt;0,IF(A89&gt;=$B$16,$B$15,0),0)))))</f>
      </c>
      <c r="E89" s="3">
        <f>IF($B$22&lt;&gt;"Ready","",IF($B$6+52&gt;=$B$8,"",IF(A89&lt;$B$7,0,12*$B$12)))</f>
      </c>
      <c r="F89" s="3">
        <f>IF($B$22&lt;&gt;"Ready","",IF($B$6+52&gt;=$B$8,"",MAX(0,E89-D89)))</f>
      </c>
      <c r="G89" s="3">
        <f>IF($B$22&lt;&gt;"Ready","",IF($B$6+52&gt;=$B$8,"",MAX(0,B89*(1+$B$27)+C89-F89)))</f>
      </c>
      <c r="H89" s="3">
        <f>IF($B$22&lt;&gt;"Ready","",IF($B$6+52&gt;=$B$8,"",ROUND(IF(ABS((MAX(0,F89-(B89*(1+$B$27)+C89))*100)-(INT(MAX(0,F89-(B89*(1+$B$27)+C89))*100)+0.5))&lt;=MIN(0.0000001,4*2.220446049250313E-16*MAX(1,ABS(F89),ABS(B89*(1+$B$27)+C89))*100),(INT(MAX(0,F89-(B89*(1+$B$27)+C89))*100)+0.5),MAX(0,F89-(B89*(1+$B$27)+C89))*100),0)/100))</f>
      </c>
      <c r="I89" s="0">
        <f>IF($B$22&lt;&gt;"Ready","",IF($B$6+52&gt;=$B$8,"",IF(I88&lt;&gt;"",I88,IF(H89&gt;0,A89+1,""))))</f>
      </c>
    </row>
    <row r="90" ht="15" customHeight="1">
      <c r="A90" s="0">
        <f>IF($B$22&lt;&gt;"Ready","",IF($B$6+53&gt;=$B$8,"",$B$6+53))</f>
      </c>
      <c r="B90" s="3">
        <f>IF($B$22&lt;&gt;"Ready","",IF($B$6+53&gt;=$B$8,"",G89))</f>
      </c>
      <c r="C90" s="3">
        <f>IF($B$22&lt;&gt;"Ready","",IF($B$6+53&gt;=$B$8,"",IF(A90&lt;$B$7,12*($B$10+$B$11),0)))</f>
      </c>
      <c r="D90" s="3">
        <f>IF($B$22&lt;&gt;"Ready","",IF($B$6+53&gt;=$B$8,"",IF(A90&lt;$B$7,0,12*(IF($B$13&gt;0,IF(A90&gt;=$B$14,$B$13,0),0)+IF($B$15&gt;0,IF(A90&gt;=$B$16,$B$15,0),0)))))</f>
      </c>
      <c r="E90" s="3">
        <f>IF($B$22&lt;&gt;"Ready","",IF($B$6+53&gt;=$B$8,"",IF(A90&lt;$B$7,0,12*$B$12)))</f>
      </c>
      <c r="F90" s="3">
        <f>IF($B$22&lt;&gt;"Ready","",IF($B$6+53&gt;=$B$8,"",MAX(0,E90-D90)))</f>
      </c>
      <c r="G90" s="3">
        <f>IF($B$22&lt;&gt;"Ready","",IF($B$6+53&gt;=$B$8,"",MAX(0,B90*(1+$B$27)+C90-F90)))</f>
      </c>
      <c r="H90" s="3">
        <f>IF($B$22&lt;&gt;"Ready","",IF($B$6+53&gt;=$B$8,"",ROUND(IF(ABS((MAX(0,F90-(B90*(1+$B$27)+C90))*100)-(INT(MAX(0,F90-(B90*(1+$B$27)+C90))*100)+0.5))&lt;=MIN(0.0000001,4*2.220446049250313E-16*MAX(1,ABS(F90),ABS(B90*(1+$B$27)+C90))*100),(INT(MAX(0,F90-(B90*(1+$B$27)+C90))*100)+0.5),MAX(0,F90-(B90*(1+$B$27)+C90))*100),0)/100))</f>
      </c>
      <c r="I90" s="0">
        <f>IF($B$22&lt;&gt;"Ready","",IF($B$6+53&gt;=$B$8,"",IF(I89&lt;&gt;"",I89,IF(H90&gt;0,A90+1,""))))</f>
      </c>
    </row>
    <row r="91" ht="15" customHeight="1">
      <c r="A91" s="0">
        <f>IF($B$22&lt;&gt;"Ready","",IF($B$6+54&gt;=$B$8,"",$B$6+54))</f>
      </c>
      <c r="B91" s="3">
        <f>IF($B$22&lt;&gt;"Ready","",IF($B$6+54&gt;=$B$8,"",G90))</f>
      </c>
      <c r="C91" s="3">
        <f>IF($B$22&lt;&gt;"Ready","",IF($B$6+54&gt;=$B$8,"",IF(A91&lt;$B$7,12*($B$10+$B$11),0)))</f>
      </c>
      <c r="D91" s="3">
        <f>IF($B$22&lt;&gt;"Ready","",IF($B$6+54&gt;=$B$8,"",IF(A91&lt;$B$7,0,12*(IF($B$13&gt;0,IF(A91&gt;=$B$14,$B$13,0),0)+IF($B$15&gt;0,IF(A91&gt;=$B$16,$B$15,0),0)))))</f>
      </c>
      <c r="E91" s="3">
        <f>IF($B$22&lt;&gt;"Ready","",IF($B$6+54&gt;=$B$8,"",IF(A91&lt;$B$7,0,12*$B$12)))</f>
      </c>
      <c r="F91" s="3">
        <f>IF($B$22&lt;&gt;"Ready","",IF($B$6+54&gt;=$B$8,"",MAX(0,E91-D91)))</f>
      </c>
      <c r="G91" s="3">
        <f>IF($B$22&lt;&gt;"Ready","",IF($B$6+54&gt;=$B$8,"",MAX(0,B91*(1+$B$27)+C91-F91)))</f>
      </c>
      <c r="H91" s="3">
        <f>IF($B$22&lt;&gt;"Ready","",IF($B$6+54&gt;=$B$8,"",ROUND(IF(ABS((MAX(0,F91-(B91*(1+$B$27)+C91))*100)-(INT(MAX(0,F91-(B91*(1+$B$27)+C91))*100)+0.5))&lt;=MIN(0.0000001,4*2.220446049250313E-16*MAX(1,ABS(F91),ABS(B91*(1+$B$27)+C91))*100),(INT(MAX(0,F91-(B91*(1+$B$27)+C91))*100)+0.5),MAX(0,F91-(B91*(1+$B$27)+C91))*100),0)/100))</f>
      </c>
      <c r="I91" s="0">
        <f>IF($B$22&lt;&gt;"Ready","",IF($B$6+54&gt;=$B$8,"",IF(I90&lt;&gt;"",I90,IF(H91&gt;0,A91+1,""))))</f>
      </c>
    </row>
    <row r="92" ht="15" customHeight="1">
      <c r="A92" s="0">
        <f>IF($B$22&lt;&gt;"Ready","",IF($B$6+55&gt;=$B$8,"",$B$6+55))</f>
      </c>
      <c r="B92" s="3">
        <f>IF($B$22&lt;&gt;"Ready","",IF($B$6+55&gt;=$B$8,"",G91))</f>
      </c>
      <c r="C92" s="3">
        <f>IF($B$22&lt;&gt;"Ready","",IF($B$6+55&gt;=$B$8,"",IF(A92&lt;$B$7,12*($B$10+$B$11),0)))</f>
      </c>
      <c r="D92" s="3">
        <f>IF($B$22&lt;&gt;"Ready","",IF($B$6+55&gt;=$B$8,"",IF(A92&lt;$B$7,0,12*(IF($B$13&gt;0,IF(A92&gt;=$B$14,$B$13,0),0)+IF($B$15&gt;0,IF(A92&gt;=$B$16,$B$15,0),0)))))</f>
      </c>
      <c r="E92" s="3">
        <f>IF($B$22&lt;&gt;"Ready","",IF($B$6+55&gt;=$B$8,"",IF(A92&lt;$B$7,0,12*$B$12)))</f>
      </c>
      <c r="F92" s="3">
        <f>IF($B$22&lt;&gt;"Ready","",IF($B$6+55&gt;=$B$8,"",MAX(0,E92-D92)))</f>
      </c>
      <c r="G92" s="3">
        <f>IF($B$22&lt;&gt;"Ready","",IF($B$6+55&gt;=$B$8,"",MAX(0,B92*(1+$B$27)+C92-F92)))</f>
      </c>
      <c r="H92" s="3">
        <f>IF($B$22&lt;&gt;"Ready","",IF($B$6+55&gt;=$B$8,"",ROUND(IF(ABS((MAX(0,F92-(B92*(1+$B$27)+C92))*100)-(INT(MAX(0,F92-(B92*(1+$B$27)+C92))*100)+0.5))&lt;=MIN(0.0000001,4*2.220446049250313E-16*MAX(1,ABS(F92),ABS(B92*(1+$B$27)+C92))*100),(INT(MAX(0,F92-(B92*(1+$B$27)+C92))*100)+0.5),MAX(0,F92-(B92*(1+$B$27)+C92))*100),0)/100))</f>
      </c>
      <c r="I92" s="0">
        <f>IF($B$22&lt;&gt;"Ready","",IF($B$6+55&gt;=$B$8,"",IF(I91&lt;&gt;"",I91,IF(H92&gt;0,A92+1,""))))</f>
      </c>
    </row>
    <row r="93" ht="15" customHeight="1">
      <c r="A93" s="0">
        <f>IF($B$22&lt;&gt;"Ready","",IF($B$6+56&gt;=$B$8,"",$B$6+56))</f>
      </c>
      <c r="B93" s="3">
        <f>IF($B$22&lt;&gt;"Ready","",IF($B$6+56&gt;=$B$8,"",G92))</f>
      </c>
      <c r="C93" s="3">
        <f>IF($B$22&lt;&gt;"Ready","",IF($B$6+56&gt;=$B$8,"",IF(A93&lt;$B$7,12*($B$10+$B$11),0)))</f>
      </c>
      <c r="D93" s="3">
        <f>IF($B$22&lt;&gt;"Ready","",IF($B$6+56&gt;=$B$8,"",IF(A93&lt;$B$7,0,12*(IF($B$13&gt;0,IF(A93&gt;=$B$14,$B$13,0),0)+IF($B$15&gt;0,IF(A93&gt;=$B$16,$B$15,0),0)))))</f>
      </c>
      <c r="E93" s="3">
        <f>IF($B$22&lt;&gt;"Ready","",IF($B$6+56&gt;=$B$8,"",IF(A93&lt;$B$7,0,12*$B$12)))</f>
      </c>
      <c r="F93" s="3">
        <f>IF($B$22&lt;&gt;"Ready","",IF($B$6+56&gt;=$B$8,"",MAX(0,E93-D93)))</f>
      </c>
      <c r="G93" s="3">
        <f>IF($B$22&lt;&gt;"Ready","",IF($B$6+56&gt;=$B$8,"",MAX(0,B93*(1+$B$27)+C93-F93)))</f>
      </c>
      <c r="H93" s="3">
        <f>IF($B$22&lt;&gt;"Ready","",IF($B$6+56&gt;=$B$8,"",ROUND(IF(ABS((MAX(0,F93-(B93*(1+$B$27)+C93))*100)-(INT(MAX(0,F93-(B93*(1+$B$27)+C93))*100)+0.5))&lt;=MIN(0.0000001,4*2.220446049250313E-16*MAX(1,ABS(F93),ABS(B93*(1+$B$27)+C93))*100),(INT(MAX(0,F93-(B93*(1+$B$27)+C93))*100)+0.5),MAX(0,F93-(B93*(1+$B$27)+C93))*100),0)/100))</f>
      </c>
      <c r="I93" s="0">
        <f>IF($B$22&lt;&gt;"Ready","",IF($B$6+56&gt;=$B$8,"",IF(I92&lt;&gt;"",I92,IF(H93&gt;0,A93+1,""))))</f>
      </c>
    </row>
    <row r="94" ht="15" customHeight="1">
      <c r="A94" s="0">
        <f>IF($B$22&lt;&gt;"Ready","",IF($B$6+57&gt;=$B$8,"",$B$6+57))</f>
      </c>
      <c r="B94" s="3">
        <f>IF($B$22&lt;&gt;"Ready","",IF($B$6+57&gt;=$B$8,"",G93))</f>
      </c>
      <c r="C94" s="3">
        <f>IF($B$22&lt;&gt;"Ready","",IF($B$6+57&gt;=$B$8,"",IF(A94&lt;$B$7,12*($B$10+$B$11),0)))</f>
      </c>
      <c r="D94" s="3">
        <f>IF($B$22&lt;&gt;"Ready","",IF($B$6+57&gt;=$B$8,"",IF(A94&lt;$B$7,0,12*(IF($B$13&gt;0,IF(A94&gt;=$B$14,$B$13,0),0)+IF($B$15&gt;0,IF(A94&gt;=$B$16,$B$15,0),0)))))</f>
      </c>
      <c r="E94" s="3">
        <f>IF($B$22&lt;&gt;"Ready","",IF($B$6+57&gt;=$B$8,"",IF(A94&lt;$B$7,0,12*$B$12)))</f>
      </c>
      <c r="F94" s="3">
        <f>IF($B$22&lt;&gt;"Ready","",IF($B$6+57&gt;=$B$8,"",MAX(0,E94-D94)))</f>
      </c>
      <c r="G94" s="3">
        <f>IF($B$22&lt;&gt;"Ready","",IF($B$6+57&gt;=$B$8,"",MAX(0,B94*(1+$B$27)+C94-F94)))</f>
      </c>
      <c r="H94" s="3">
        <f>IF($B$22&lt;&gt;"Ready","",IF($B$6+57&gt;=$B$8,"",ROUND(IF(ABS((MAX(0,F94-(B94*(1+$B$27)+C94))*100)-(INT(MAX(0,F94-(B94*(1+$B$27)+C94))*100)+0.5))&lt;=MIN(0.0000001,4*2.220446049250313E-16*MAX(1,ABS(F94),ABS(B94*(1+$B$27)+C94))*100),(INT(MAX(0,F94-(B94*(1+$B$27)+C94))*100)+0.5),MAX(0,F94-(B94*(1+$B$27)+C94))*100),0)/100))</f>
      </c>
      <c r="I94" s="0">
        <f>IF($B$22&lt;&gt;"Ready","",IF($B$6+57&gt;=$B$8,"",IF(I93&lt;&gt;"",I93,IF(H94&gt;0,A94+1,""))))</f>
      </c>
    </row>
    <row r="95" ht="15" customHeight="1">
      <c r="A95" s="0">
        <f>IF($B$22&lt;&gt;"Ready","",IF($B$6+58&gt;=$B$8,"",$B$6+58))</f>
      </c>
      <c r="B95" s="3">
        <f>IF($B$22&lt;&gt;"Ready","",IF($B$6+58&gt;=$B$8,"",G94))</f>
      </c>
      <c r="C95" s="3">
        <f>IF($B$22&lt;&gt;"Ready","",IF($B$6+58&gt;=$B$8,"",IF(A95&lt;$B$7,12*($B$10+$B$11),0)))</f>
      </c>
      <c r="D95" s="3">
        <f>IF($B$22&lt;&gt;"Ready","",IF($B$6+58&gt;=$B$8,"",IF(A95&lt;$B$7,0,12*(IF($B$13&gt;0,IF(A95&gt;=$B$14,$B$13,0),0)+IF($B$15&gt;0,IF(A95&gt;=$B$16,$B$15,0),0)))))</f>
      </c>
      <c r="E95" s="3">
        <f>IF($B$22&lt;&gt;"Ready","",IF($B$6+58&gt;=$B$8,"",IF(A95&lt;$B$7,0,12*$B$12)))</f>
      </c>
      <c r="F95" s="3">
        <f>IF($B$22&lt;&gt;"Ready","",IF($B$6+58&gt;=$B$8,"",MAX(0,E95-D95)))</f>
      </c>
      <c r="G95" s="3">
        <f>IF($B$22&lt;&gt;"Ready","",IF($B$6+58&gt;=$B$8,"",MAX(0,B95*(1+$B$27)+C95-F95)))</f>
      </c>
      <c r="H95" s="3">
        <f>IF($B$22&lt;&gt;"Ready","",IF($B$6+58&gt;=$B$8,"",ROUND(IF(ABS((MAX(0,F95-(B95*(1+$B$27)+C95))*100)-(INT(MAX(0,F95-(B95*(1+$B$27)+C95))*100)+0.5))&lt;=MIN(0.0000001,4*2.220446049250313E-16*MAX(1,ABS(F95),ABS(B95*(1+$B$27)+C95))*100),(INT(MAX(0,F95-(B95*(1+$B$27)+C95))*100)+0.5),MAX(0,F95-(B95*(1+$B$27)+C95))*100),0)/100))</f>
      </c>
      <c r="I95" s="0">
        <f>IF($B$22&lt;&gt;"Ready","",IF($B$6+58&gt;=$B$8,"",IF(I94&lt;&gt;"",I94,IF(H95&gt;0,A95+1,""))))</f>
      </c>
    </row>
    <row r="96" ht="15" customHeight="1">
      <c r="A96" s="0">
        <f>IF($B$22&lt;&gt;"Ready","",IF($B$6+59&gt;=$B$8,"",$B$6+59))</f>
      </c>
      <c r="B96" s="3">
        <f>IF($B$22&lt;&gt;"Ready","",IF($B$6+59&gt;=$B$8,"",G95))</f>
      </c>
      <c r="C96" s="3">
        <f>IF($B$22&lt;&gt;"Ready","",IF($B$6+59&gt;=$B$8,"",IF(A96&lt;$B$7,12*($B$10+$B$11),0)))</f>
      </c>
      <c r="D96" s="3">
        <f>IF($B$22&lt;&gt;"Ready","",IF($B$6+59&gt;=$B$8,"",IF(A96&lt;$B$7,0,12*(IF($B$13&gt;0,IF(A96&gt;=$B$14,$B$13,0),0)+IF($B$15&gt;0,IF(A96&gt;=$B$16,$B$15,0),0)))))</f>
      </c>
      <c r="E96" s="3">
        <f>IF($B$22&lt;&gt;"Ready","",IF($B$6+59&gt;=$B$8,"",IF(A96&lt;$B$7,0,12*$B$12)))</f>
      </c>
      <c r="F96" s="3">
        <f>IF($B$22&lt;&gt;"Ready","",IF($B$6+59&gt;=$B$8,"",MAX(0,E96-D96)))</f>
      </c>
      <c r="G96" s="3">
        <f>IF($B$22&lt;&gt;"Ready","",IF($B$6+59&gt;=$B$8,"",MAX(0,B96*(1+$B$27)+C96-F96)))</f>
      </c>
      <c r="H96" s="3">
        <f>IF($B$22&lt;&gt;"Ready","",IF($B$6+59&gt;=$B$8,"",ROUND(IF(ABS((MAX(0,F96-(B96*(1+$B$27)+C96))*100)-(INT(MAX(0,F96-(B96*(1+$B$27)+C96))*100)+0.5))&lt;=MIN(0.0000001,4*2.220446049250313E-16*MAX(1,ABS(F96),ABS(B96*(1+$B$27)+C96))*100),(INT(MAX(0,F96-(B96*(1+$B$27)+C96))*100)+0.5),MAX(0,F96-(B96*(1+$B$27)+C96))*100),0)/100))</f>
      </c>
      <c r="I96" s="0">
        <f>IF($B$22&lt;&gt;"Ready","",IF($B$6+59&gt;=$B$8,"",IF(I95&lt;&gt;"",I95,IF(H96&gt;0,A96+1,""))))</f>
      </c>
    </row>
    <row r="97" ht="15" customHeight="1">
      <c r="A97" s="0">
        <f>IF($B$22&lt;&gt;"Ready","",IF($B$6+60&gt;=$B$8,"",$B$6+60))</f>
      </c>
      <c r="B97" s="3">
        <f>IF($B$22&lt;&gt;"Ready","",IF($B$6+60&gt;=$B$8,"",G96))</f>
      </c>
      <c r="C97" s="3">
        <f>IF($B$22&lt;&gt;"Ready","",IF($B$6+60&gt;=$B$8,"",IF(A97&lt;$B$7,12*($B$10+$B$11),0)))</f>
      </c>
      <c r="D97" s="3">
        <f>IF($B$22&lt;&gt;"Ready","",IF($B$6+60&gt;=$B$8,"",IF(A97&lt;$B$7,0,12*(IF($B$13&gt;0,IF(A97&gt;=$B$14,$B$13,0),0)+IF($B$15&gt;0,IF(A97&gt;=$B$16,$B$15,0),0)))))</f>
      </c>
      <c r="E97" s="3">
        <f>IF($B$22&lt;&gt;"Ready","",IF($B$6+60&gt;=$B$8,"",IF(A97&lt;$B$7,0,12*$B$12)))</f>
      </c>
      <c r="F97" s="3">
        <f>IF($B$22&lt;&gt;"Ready","",IF($B$6+60&gt;=$B$8,"",MAX(0,E97-D97)))</f>
      </c>
      <c r="G97" s="3">
        <f>IF($B$22&lt;&gt;"Ready","",IF($B$6+60&gt;=$B$8,"",MAX(0,B97*(1+$B$27)+C97-F97)))</f>
      </c>
      <c r="H97" s="3">
        <f>IF($B$22&lt;&gt;"Ready","",IF($B$6+60&gt;=$B$8,"",ROUND(IF(ABS((MAX(0,F97-(B97*(1+$B$27)+C97))*100)-(INT(MAX(0,F97-(B97*(1+$B$27)+C97))*100)+0.5))&lt;=MIN(0.0000001,4*2.220446049250313E-16*MAX(1,ABS(F97),ABS(B97*(1+$B$27)+C97))*100),(INT(MAX(0,F97-(B97*(1+$B$27)+C97))*100)+0.5),MAX(0,F97-(B97*(1+$B$27)+C97))*100),0)/100))</f>
      </c>
      <c r="I97" s="0">
        <f>IF($B$22&lt;&gt;"Ready","",IF($B$6+60&gt;=$B$8,"",IF(I96&lt;&gt;"",I96,IF(H97&gt;0,A97+1,""))))</f>
      </c>
    </row>
    <row r="98" ht="15" customHeight="1">
      <c r="A98" s="0">
        <f>IF($B$22&lt;&gt;"Ready","",IF($B$6+61&gt;=$B$8,"",$B$6+61))</f>
      </c>
      <c r="B98" s="3">
        <f>IF($B$22&lt;&gt;"Ready","",IF($B$6+61&gt;=$B$8,"",G97))</f>
      </c>
      <c r="C98" s="3">
        <f>IF($B$22&lt;&gt;"Ready","",IF($B$6+61&gt;=$B$8,"",IF(A98&lt;$B$7,12*($B$10+$B$11),0)))</f>
      </c>
      <c r="D98" s="3">
        <f>IF($B$22&lt;&gt;"Ready","",IF($B$6+61&gt;=$B$8,"",IF(A98&lt;$B$7,0,12*(IF($B$13&gt;0,IF(A98&gt;=$B$14,$B$13,0),0)+IF($B$15&gt;0,IF(A98&gt;=$B$16,$B$15,0),0)))))</f>
      </c>
      <c r="E98" s="3">
        <f>IF($B$22&lt;&gt;"Ready","",IF($B$6+61&gt;=$B$8,"",IF(A98&lt;$B$7,0,12*$B$12)))</f>
      </c>
      <c r="F98" s="3">
        <f>IF($B$22&lt;&gt;"Ready","",IF($B$6+61&gt;=$B$8,"",MAX(0,E98-D98)))</f>
      </c>
      <c r="G98" s="3">
        <f>IF($B$22&lt;&gt;"Ready","",IF($B$6+61&gt;=$B$8,"",MAX(0,B98*(1+$B$27)+C98-F98)))</f>
      </c>
      <c r="H98" s="3">
        <f>IF($B$22&lt;&gt;"Ready","",IF($B$6+61&gt;=$B$8,"",ROUND(IF(ABS((MAX(0,F98-(B98*(1+$B$27)+C98))*100)-(INT(MAX(0,F98-(B98*(1+$B$27)+C98))*100)+0.5))&lt;=MIN(0.0000001,4*2.220446049250313E-16*MAX(1,ABS(F98),ABS(B98*(1+$B$27)+C98))*100),(INT(MAX(0,F98-(B98*(1+$B$27)+C98))*100)+0.5),MAX(0,F98-(B98*(1+$B$27)+C98))*100),0)/100))</f>
      </c>
      <c r="I98" s="0">
        <f>IF($B$22&lt;&gt;"Ready","",IF($B$6+61&gt;=$B$8,"",IF(I97&lt;&gt;"",I97,IF(H98&gt;0,A98+1,""))))</f>
      </c>
    </row>
    <row r="99" ht="15" customHeight="1">
      <c r="A99" s="0">
        <f>IF($B$22&lt;&gt;"Ready","",IF($B$6+62&gt;=$B$8,"",$B$6+62))</f>
      </c>
      <c r="B99" s="3">
        <f>IF($B$22&lt;&gt;"Ready","",IF($B$6+62&gt;=$B$8,"",G98))</f>
      </c>
      <c r="C99" s="3">
        <f>IF($B$22&lt;&gt;"Ready","",IF($B$6+62&gt;=$B$8,"",IF(A99&lt;$B$7,12*($B$10+$B$11),0)))</f>
      </c>
      <c r="D99" s="3">
        <f>IF($B$22&lt;&gt;"Ready","",IF($B$6+62&gt;=$B$8,"",IF(A99&lt;$B$7,0,12*(IF($B$13&gt;0,IF(A99&gt;=$B$14,$B$13,0),0)+IF($B$15&gt;0,IF(A99&gt;=$B$16,$B$15,0),0)))))</f>
      </c>
      <c r="E99" s="3">
        <f>IF($B$22&lt;&gt;"Ready","",IF($B$6+62&gt;=$B$8,"",IF(A99&lt;$B$7,0,12*$B$12)))</f>
      </c>
      <c r="F99" s="3">
        <f>IF($B$22&lt;&gt;"Ready","",IF($B$6+62&gt;=$B$8,"",MAX(0,E99-D99)))</f>
      </c>
      <c r="G99" s="3">
        <f>IF($B$22&lt;&gt;"Ready","",IF($B$6+62&gt;=$B$8,"",MAX(0,B99*(1+$B$27)+C99-F99)))</f>
      </c>
      <c r="H99" s="3">
        <f>IF($B$22&lt;&gt;"Ready","",IF($B$6+62&gt;=$B$8,"",ROUND(IF(ABS((MAX(0,F99-(B99*(1+$B$27)+C99))*100)-(INT(MAX(0,F99-(B99*(1+$B$27)+C99))*100)+0.5))&lt;=MIN(0.0000001,4*2.220446049250313E-16*MAX(1,ABS(F99),ABS(B99*(1+$B$27)+C99))*100),(INT(MAX(0,F99-(B99*(1+$B$27)+C99))*100)+0.5),MAX(0,F99-(B99*(1+$B$27)+C99))*100),0)/100))</f>
      </c>
      <c r="I99" s="0">
        <f>IF($B$22&lt;&gt;"Ready","",IF($B$6+62&gt;=$B$8,"",IF(I98&lt;&gt;"",I98,IF(H99&gt;0,A99+1,""))))</f>
      </c>
    </row>
    <row r="100" ht="15" customHeight="1">
      <c r="A100" s="0">
        <f>IF($B$22&lt;&gt;"Ready","",IF($B$6+63&gt;=$B$8,"",$B$6+63))</f>
      </c>
      <c r="B100" s="3">
        <f>IF($B$22&lt;&gt;"Ready","",IF($B$6+63&gt;=$B$8,"",G99))</f>
      </c>
      <c r="C100" s="3">
        <f>IF($B$22&lt;&gt;"Ready","",IF($B$6+63&gt;=$B$8,"",IF(A100&lt;$B$7,12*($B$10+$B$11),0)))</f>
      </c>
      <c r="D100" s="3">
        <f>IF($B$22&lt;&gt;"Ready","",IF($B$6+63&gt;=$B$8,"",IF(A100&lt;$B$7,0,12*(IF($B$13&gt;0,IF(A100&gt;=$B$14,$B$13,0),0)+IF($B$15&gt;0,IF(A100&gt;=$B$16,$B$15,0),0)))))</f>
      </c>
      <c r="E100" s="3">
        <f>IF($B$22&lt;&gt;"Ready","",IF($B$6+63&gt;=$B$8,"",IF(A100&lt;$B$7,0,12*$B$12)))</f>
      </c>
      <c r="F100" s="3">
        <f>IF($B$22&lt;&gt;"Ready","",IF($B$6+63&gt;=$B$8,"",MAX(0,E100-D100)))</f>
      </c>
      <c r="G100" s="3">
        <f>IF($B$22&lt;&gt;"Ready","",IF($B$6+63&gt;=$B$8,"",MAX(0,B100*(1+$B$27)+C100-F100)))</f>
      </c>
      <c r="H100" s="3">
        <f>IF($B$22&lt;&gt;"Ready","",IF($B$6+63&gt;=$B$8,"",ROUND(IF(ABS((MAX(0,F100-(B100*(1+$B$27)+C100))*100)-(INT(MAX(0,F100-(B100*(1+$B$27)+C100))*100)+0.5))&lt;=MIN(0.0000001,4*2.220446049250313E-16*MAX(1,ABS(F100),ABS(B100*(1+$B$27)+C100))*100),(INT(MAX(0,F100-(B100*(1+$B$27)+C100))*100)+0.5),MAX(0,F100-(B100*(1+$B$27)+C100))*100),0)/100))</f>
      </c>
      <c r="I100" s="0">
        <f>IF($B$22&lt;&gt;"Ready","",IF($B$6+63&gt;=$B$8,"",IF(I99&lt;&gt;"",I99,IF(H100&gt;0,A100+1,""))))</f>
      </c>
    </row>
    <row r="101" ht="15" customHeight="1">
      <c r="A101" s="0">
        <f>IF($B$22&lt;&gt;"Ready","",IF($B$6+64&gt;=$B$8,"",$B$6+64))</f>
      </c>
      <c r="B101" s="3">
        <f>IF($B$22&lt;&gt;"Ready","",IF($B$6+64&gt;=$B$8,"",G100))</f>
      </c>
      <c r="C101" s="3">
        <f>IF($B$22&lt;&gt;"Ready","",IF($B$6+64&gt;=$B$8,"",IF(A101&lt;$B$7,12*($B$10+$B$11),0)))</f>
      </c>
      <c r="D101" s="3">
        <f>IF($B$22&lt;&gt;"Ready","",IF($B$6+64&gt;=$B$8,"",IF(A101&lt;$B$7,0,12*(IF($B$13&gt;0,IF(A101&gt;=$B$14,$B$13,0),0)+IF($B$15&gt;0,IF(A101&gt;=$B$16,$B$15,0),0)))))</f>
      </c>
      <c r="E101" s="3">
        <f>IF($B$22&lt;&gt;"Ready","",IF($B$6+64&gt;=$B$8,"",IF(A101&lt;$B$7,0,12*$B$12)))</f>
      </c>
      <c r="F101" s="3">
        <f>IF($B$22&lt;&gt;"Ready","",IF($B$6+64&gt;=$B$8,"",MAX(0,E101-D101)))</f>
      </c>
      <c r="G101" s="3">
        <f>IF($B$22&lt;&gt;"Ready","",IF($B$6+64&gt;=$B$8,"",MAX(0,B101*(1+$B$27)+C101-F101)))</f>
      </c>
      <c r="H101" s="3">
        <f>IF($B$22&lt;&gt;"Ready","",IF($B$6+64&gt;=$B$8,"",ROUND(IF(ABS((MAX(0,F101-(B101*(1+$B$27)+C101))*100)-(INT(MAX(0,F101-(B101*(1+$B$27)+C101))*100)+0.5))&lt;=MIN(0.0000001,4*2.220446049250313E-16*MAX(1,ABS(F101),ABS(B101*(1+$B$27)+C101))*100),(INT(MAX(0,F101-(B101*(1+$B$27)+C101))*100)+0.5),MAX(0,F101-(B101*(1+$B$27)+C101))*100),0)/100))</f>
      </c>
      <c r="I101" s="0">
        <f>IF($B$22&lt;&gt;"Ready","",IF($B$6+64&gt;=$B$8,"",IF(I100&lt;&gt;"",I100,IF(H101&gt;0,A101+1,""))))</f>
      </c>
    </row>
    <row r="102" ht="15" customHeight="1">
      <c r="A102" s="0">
        <f>IF($B$22&lt;&gt;"Ready","",IF($B$6+65&gt;=$B$8,"",$B$6+65))</f>
      </c>
      <c r="B102" s="3">
        <f>IF($B$22&lt;&gt;"Ready","",IF($B$6+65&gt;=$B$8,"",G101))</f>
      </c>
      <c r="C102" s="3">
        <f>IF($B$22&lt;&gt;"Ready","",IF($B$6+65&gt;=$B$8,"",IF(A102&lt;$B$7,12*($B$10+$B$11),0)))</f>
      </c>
      <c r="D102" s="3">
        <f>IF($B$22&lt;&gt;"Ready","",IF($B$6+65&gt;=$B$8,"",IF(A102&lt;$B$7,0,12*(IF($B$13&gt;0,IF(A102&gt;=$B$14,$B$13,0),0)+IF($B$15&gt;0,IF(A102&gt;=$B$16,$B$15,0),0)))))</f>
      </c>
      <c r="E102" s="3">
        <f>IF($B$22&lt;&gt;"Ready","",IF($B$6+65&gt;=$B$8,"",IF(A102&lt;$B$7,0,12*$B$12)))</f>
      </c>
      <c r="F102" s="3">
        <f>IF($B$22&lt;&gt;"Ready","",IF($B$6+65&gt;=$B$8,"",MAX(0,E102-D102)))</f>
      </c>
      <c r="G102" s="3">
        <f>IF($B$22&lt;&gt;"Ready","",IF($B$6+65&gt;=$B$8,"",MAX(0,B102*(1+$B$27)+C102-F102)))</f>
      </c>
      <c r="H102" s="3">
        <f>IF($B$22&lt;&gt;"Ready","",IF($B$6+65&gt;=$B$8,"",ROUND(IF(ABS((MAX(0,F102-(B102*(1+$B$27)+C102))*100)-(INT(MAX(0,F102-(B102*(1+$B$27)+C102))*100)+0.5))&lt;=MIN(0.0000001,4*2.220446049250313E-16*MAX(1,ABS(F102),ABS(B102*(1+$B$27)+C102))*100),(INT(MAX(0,F102-(B102*(1+$B$27)+C102))*100)+0.5),MAX(0,F102-(B102*(1+$B$27)+C102))*100),0)/100))</f>
      </c>
      <c r="I102" s="0">
        <f>IF($B$22&lt;&gt;"Ready","",IF($B$6+65&gt;=$B$8,"",IF(I101&lt;&gt;"",I101,IF(H102&gt;0,A102+1,""))))</f>
      </c>
    </row>
    <row r="103" ht="15" customHeight="1">
      <c r="A103" s="0">
        <f>IF($B$22&lt;&gt;"Ready","",IF($B$6+66&gt;=$B$8,"",$B$6+66))</f>
      </c>
      <c r="B103" s="3">
        <f>IF($B$22&lt;&gt;"Ready","",IF($B$6+66&gt;=$B$8,"",G102))</f>
      </c>
      <c r="C103" s="3">
        <f>IF($B$22&lt;&gt;"Ready","",IF($B$6+66&gt;=$B$8,"",IF(A103&lt;$B$7,12*($B$10+$B$11),0)))</f>
      </c>
      <c r="D103" s="3">
        <f>IF($B$22&lt;&gt;"Ready","",IF($B$6+66&gt;=$B$8,"",IF(A103&lt;$B$7,0,12*(IF($B$13&gt;0,IF(A103&gt;=$B$14,$B$13,0),0)+IF($B$15&gt;0,IF(A103&gt;=$B$16,$B$15,0),0)))))</f>
      </c>
      <c r="E103" s="3">
        <f>IF($B$22&lt;&gt;"Ready","",IF($B$6+66&gt;=$B$8,"",IF(A103&lt;$B$7,0,12*$B$12)))</f>
      </c>
      <c r="F103" s="3">
        <f>IF($B$22&lt;&gt;"Ready","",IF($B$6+66&gt;=$B$8,"",MAX(0,E103-D103)))</f>
      </c>
      <c r="G103" s="3">
        <f>IF($B$22&lt;&gt;"Ready","",IF($B$6+66&gt;=$B$8,"",MAX(0,B103*(1+$B$27)+C103-F103)))</f>
      </c>
      <c r="H103" s="3">
        <f>IF($B$22&lt;&gt;"Ready","",IF($B$6+66&gt;=$B$8,"",ROUND(IF(ABS((MAX(0,F103-(B103*(1+$B$27)+C103))*100)-(INT(MAX(0,F103-(B103*(1+$B$27)+C103))*100)+0.5))&lt;=MIN(0.0000001,4*2.220446049250313E-16*MAX(1,ABS(F103),ABS(B103*(1+$B$27)+C103))*100),(INT(MAX(0,F103-(B103*(1+$B$27)+C103))*100)+0.5),MAX(0,F103-(B103*(1+$B$27)+C103))*100),0)/100))</f>
      </c>
      <c r="I103" s="0">
        <f>IF($B$22&lt;&gt;"Ready","",IF($B$6+66&gt;=$B$8,"",IF(I102&lt;&gt;"",I102,IF(H103&gt;0,A103+1,""))))</f>
      </c>
    </row>
    <row r="104" ht="15" customHeight="1">
      <c r="A104" s="0">
        <f>IF($B$22&lt;&gt;"Ready","",IF($B$6+67&gt;=$B$8,"",$B$6+67))</f>
      </c>
      <c r="B104" s="3">
        <f>IF($B$22&lt;&gt;"Ready","",IF($B$6+67&gt;=$B$8,"",G103))</f>
      </c>
      <c r="C104" s="3">
        <f>IF($B$22&lt;&gt;"Ready","",IF($B$6+67&gt;=$B$8,"",IF(A104&lt;$B$7,12*($B$10+$B$11),0)))</f>
      </c>
      <c r="D104" s="3">
        <f>IF($B$22&lt;&gt;"Ready","",IF($B$6+67&gt;=$B$8,"",IF(A104&lt;$B$7,0,12*(IF($B$13&gt;0,IF(A104&gt;=$B$14,$B$13,0),0)+IF($B$15&gt;0,IF(A104&gt;=$B$16,$B$15,0),0)))))</f>
      </c>
      <c r="E104" s="3">
        <f>IF($B$22&lt;&gt;"Ready","",IF($B$6+67&gt;=$B$8,"",IF(A104&lt;$B$7,0,12*$B$12)))</f>
      </c>
      <c r="F104" s="3">
        <f>IF($B$22&lt;&gt;"Ready","",IF($B$6+67&gt;=$B$8,"",MAX(0,E104-D104)))</f>
      </c>
      <c r="G104" s="3">
        <f>IF($B$22&lt;&gt;"Ready","",IF($B$6+67&gt;=$B$8,"",MAX(0,B104*(1+$B$27)+C104-F104)))</f>
      </c>
      <c r="H104" s="3">
        <f>IF($B$22&lt;&gt;"Ready","",IF($B$6+67&gt;=$B$8,"",ROUND(IF(ABS((MAX(0,F104-(B104*(1+$B$27)+C104))*100)-(INT(MAX(0,F104-(B104*(1+$B$27)+C104))*100)+0.5))&lt;=MIN(0.0000001,4*2.220446049250313E-16*MAX(1,ABS(F104),ABS(B104*(1+$B$27)+C104))*100),(INT(MAX(0,F104-(B104*(1+$B$27)+C104))*100)+0.5),MAX(0,F104-(B104*(1+$B$27)+C104))*100),0)/100))</f>
      </c>
      <c r="I104" s="0">
        <f>IF($B$22&lt;&gt;"Ready","",IF($B$6+67&gt;=$B$8,"",IF(I103&lt;&gt;"",I103,IF(H104&gt;0,A104+1,""))))</f>
      </c>
    </row>
    <row r="105" ht="15" customHeight="1">
      <c r="A105" s="0">
        <f>IF($B$22&lt;&gt;"Ready","",IF($B$6+68&gt;=$B$8,"",$B$6+68))</f>
      </c>
      <c r="B105" s="3">
        <f>IF($B$22&lt;&gt;"Ready","",IF($B$6+68&gt;=$B$8,"",G104))</f>
      </c>
      <c r="C105" s="3">
        <f>IF($B$22&lt;&gt;"Ready","",IF($B$6+68&gt;=$B$8,"",IF(A105&lt;$B$7,12*($B$10+$B$11),0)))</f>
      </c>
      <c r="D105" s="3">
        <f>IF($B$22&lt;&gt;"Ready","",IF($B$6+68&gt;=$B$8,"",IF(A105&lt;$B$7,0,12*(IF($B$13&gt;0,IF(A105&gt;=$B$14,$B$13,0),0)+IF($B$15&gt;0,IF(A105&gt;=$B$16,$B$15,0),0)))))</f>
      </c>
      <c r="E105" s="3">
        <f>IF($B$22&lt;&gt;"Ready","",IF($B$6+68&gt;=$B$8,"",IF(A105&lt;$B$7,0,12*$B$12)))</f>
      </c>
      <c r="F105" s="3">
        <f>IF($B$22&lt;&gt;"Ready","",IF($B$6+68&gt;=$B$8,"",MAX(0,E105-D105)))</f>
      </c>
      <c r="G105" s="3">
        <f>IF($B$22&lt;&gt;"Ready","",IF($B$6+68&gt;=$B$8,"",MAX(0,B105*(1+$B$27)+C105-F105)))</f>
      </c>
      <c r="H105" s="3">
        <f>IF($B$22&lt;&gt;"Ready","",IF($B$6+68&gt;=$B$8,"",ROUND(IF(ABS((MAX(0,F105-(B105*(1+$B$27)+C105))*100)-(INT(MAX(0,F105-(B105*(1+$B$27)+C105))*100)+0.5))&lt;=MIN(0.0000001,4*2.220446049250313E-16*MAX(1,ABS(F105),ABS(B105*(1+$B$27)+C105))*100),(INT(MAX(0,F105-(B105*(1+$B$27)+C105))*100)+0.5),MAX(0,F105-(B105*(1+$B$27)+C105))*100),0)/100))</f>
      </c>
      <c r="I105" s="0">
        <f>IF($B$22&lt;&gt;"Ready","",IF($B$6+68&gt;=$B$8,"",IF(I104&lt;&gt;"",I104,IF(H105&gt;0,A105+1,""))))</f>
      </c>
    </row>
    <row r="106" ht="15" customHeight="1">
      <c r="A106" s="0">
        <f>IF($B$22&lt;&gt;"Ready","",IF($B$6+69&gt;=$B$8,"",$B$6+69))</f>
      </c>
      <c r="B106" s="3">
        <f>IF($B$22&lt;&gt;"Ready","",IF($B$6+69&gt;=$B$8,"",G105))</f>
      </c>
      <c r="C106" s="3">
        <f>IF($B$22&lt;&gt;"Ready","",IF($B$6+69&gt;=$B$8,"",IF(A106&lt;$B$7,12*($B$10+$B$11),0)))</f>
      </c>
      <c r="D106" s="3">
        <f>IF($B$22&lt;&gt;"Ready","",IF($B$6+69&gt;=$B$8,"",IF(A106&lt;$B$7,0,12*(IF($B$13&gt;0,IF(A106&gt;=$B$14,$B$13,0),0)+IF($B$15&gt;0,IF(A106&gt;=$B$16,$B$15,0),0)))))</f>
      </c>
      <c r="E106" s="3">
        <f>IF($B$22&lt;&gt;"Ready","",IF($B$6+69&gt;=$B$8,"",IF(A106&lt;$B$7,0,12*$B$12)))</f>
      </c>
      <c r="F106" s="3">
        <f>IF($B$22&lt;&gt;"Ready","",IF($B$6+69&gt;=$B$8,"",MAX(0,E106-D106)))</f>
      </c>
      <c r="G106" s="3">
        <f>IF($B$22&lt;&gt;"Ready","",IF($B$6+69&gt;=$B$8,"",MAX(0,B106*(1+$B$27)+C106-F106)))</f>
      </c>
      <c r="H106" s="3">
        <f>IF($B$22&lt;&gt;"Ready","",IF($B$6+69&gt;=$B$8,"",ROUND(IF(ABS((MAX(0,F106-(B106*(1+$B$27)+C106))*100)-(INT(MAX(0,F106-(B106*(1+$B$27)+C106))*100)+0.5))&lt;=MIN(0.0000001,4*2.220446049250313E-16*MAX(1,ABS(F106),ABS(B106*(1+$B$27)+C106))*100),(INT(MAX(0,F106-(B106*(1+$B$27)+C106))*100)+0.5),MAX(0,F106-(B106*(1+$B$27)+C106))*100),0)/100))</f>
      </c>
      <c r="I106" s="0">
        <f>IF($B$22&lt;&gt;"Ready","",IF($B$6+69&gt;=$B$8,"",IF(I105&lt;&gt;"",I105,IF(H106&gt;0,A106+1,""))))</f>
      </c>
    </row>
    <row r="107" ht="15" customHeight="1">
      <c r="A107" s="0">
        <f>IF($B$22&lt;&gt;"Ready","",IF($B$6+70&gt;=$B$8,"",$B$6+70))</f>
      </c>
      <c r="B107" s="3">
        <f>IF($B$22&lt;&gt;"Ready","",IF($B$6+70&gt;=$B$8,"",G106))</f>
      </c>
      <c r="C107" s="3">
        <f>IF($B$22&lt;&gt;"Ready","",IF($B$6+70&gt;=$B$8,"",IF(A107&lt;$B$7,12*($B$10+$B$11),0)))</f>
      </c>
      <c r="D107" s="3">
        <f>IF($B$22&lt;&gt;"Ready","",IF($B$6+70&gt;=$B$8,"",IF(A107&lt;$B$7,0,12*(IF($B$13&gt;0,IF(A107&gt;=$B$14,$B$13,0),0)+IF($B$15&gt;0,IF(A107&gt;=$B$16,$B$15,0),0)))))</f>
      </c>
      <c r="E107" s="3">
        <f>IF($B$22&lt;&gt;"Ready","",IF($B$6+70&gt;=$B$8,"",IF(A107&lt;$B$7,0,12*$B$12)))</f>
      </c>
      <c r="F107" s="3">
        <f>IF($B$22&lt;&gt;"Ready","",IF($B$6+70&gt;=$B$8,"",MAX(0,E107-D107)))</f>
      </c>
      <c r="G107" s="3">
        <f>IF($B$22&lt;&gt;"Ready","",IF($B$6+70&gt;=$B$8,"",MAX(0,B107*(1+$B$27)+C107-F107)))</f>
      </c>
      <c r="H107" s="3">
        <f>IF($B$22&lt;&gt;"Ready","",IF($B$6+70&gt;=$B$8,"",ROUND(IF(ABS((MAX(0,F107-(B107*(1+$B$27)+C107))*100)-(INT(MAX(0,F107-(B107*(1+$B$27)+C107))*100)+0.5))&lt;=MIN(0.0000001,4*2.220446049250313E-16*MAX(1,ABS(F107),ABS(B107*(1+$B$27)+C107))*100),(INT(MAX(0,F107-(B107*(1+$B$27)+C107))*100)+0.5),MAX(0,F107-(B107*(1+$B$27)+C107))*100),0)/100))</f>
      </c>
      <c r="I107" s="0">
        <f>IF($B$22&lt;&gt;"Ready","",IF($B$6+70&gt;=$B$8,"",IF(I106&lt;&gt;"",I106,IF(H107&gt;0,A107+1,""))))</f>
      </c>
    </row>
    <row r="108" ht="15" customHeight="1">
      <c r="A108" s="0">
        <f>IF($B$22&lt;&gt;"Ready","",IF($B$6+71&gt;=$B$8,"",$B$6+71))</f>
      </c>
      <c r="B108" s="3">
        <f>IF($B$22&lt;&gt;"Ready","",IF($B$6+71&gt;=$B$8,"",G107))</f>
      </c>
      <c r="C108" s="3">
        <f>IF($B$22&lt;&gt;"Ready","",IF($B$6+71&gt;=$B$8,"",IF(A108&lt;$B$7,12*($B$10+$B$11),0)))</f>
      </c>
      <c r="D108" s="3">
        <f>IF($B$22&lt;&gt;"Ready","",IF($B$6+71&gt;=$B$8,"",IF(A108&lt;$B$7,0,12*(IF($B$13&gt;0,IF(A108&gt;=$B$14,$B$13,0),0)+IF($B$15&gt;0,IF(A108&gt;=$B$16,$B$15,0),0)))))</f>
      </c>
      <c r="E108" s="3">
        <f>IF($B$22&lt;&gt;"Ready","",IF($B$6+71&gt;=$B$8,"",IF(A108&lt;$B$7,0,12*$B$12)))</f>
      </c>
      <c r="F108" s="3">
        <f>IF($B$22&lt;&gt;"Ready","",IF($B$6+71&gt;=$B$8,"",MAX(0,E108-D108)))</f>
      </c>
      <c r="G108" s="3">
        <f>IF($B$22&lt;&gt;"Ready","",IF($B$6+71&gt;=$B$8,"",MAX(0,B108*(1+$B$27)+C108-F108)))</f>
      </c>
      <c r="H108" s="3">
        <f>IF($B$22&lt;&gt;"Ready","",IF($B$6+71&gt;=$B$8,"",ROUND(IF(ABS((MAX(0,F108-(B108*(1+$B$27)+C108))*100)-(INT(MAX(0,F108-(B108*(1+$B$27)+C108))*100)+0.5))&lt;=MIN(0.0000001,4*2.220446049250313E-16*MAX(1,ABS(F108),ABS(B108*(1+$B$27)+C108))*100),(INT(MAX(0,F108-(B108*(1+$B$27)+C108))*100)+0.5),MAX(0,F108-(B108*(1+$B$27)+C108))*100),0)/100))</f>
      </c>
      <c r="I108" s="0">
        <f>IF($B$22&lt;&gt;"Ready","",IF($B$6+71&gt;=$B$8,"",IF(I107&lt;&gt;"",I107,IF(H108&gt;0,A108+1,""))))</f>
      </c>
    </row>
    <row r="109" ht="15" customHeight="1">
      <c r="A109" s="0">
        <f>IF($B$22&lt;&gt;"Ready","",IF($B$6+72&gt;=$B$8,"",$B$6+72))</f>
      </c>
      <c r="B109" s="3">
        <f>IF($B$22&lt;&gt;"Ready","",IF($B$6+72&gt;=$B$8,"",G108))</f>
      </c>
      <c r="C109" s="3">
        <f>IF($B$22&lt;&gt;"Ready","",IF($B$6+72&gt;=$B$8,"",IF(A109&lt;$B$7,12*($B$10+$B$11),0)))</f>
      </c>
      <c r="D109" s="3">
        <f>IF($B$22&lt;&gt;"Ready","",IF($B$6+72&gt;=$B$8,"",IF(A109&lt;$B$7,0,12*(IF($B$13&gt;0,IF(A109&gt;=$B$14,$B$13,0),0)+IF($B$15&gt;0,IF(A109&gt;=$B$16,$B$15,0),0)))))</f>
      </c>
      <c r="E109" s="3">
        <f>IF($B$22&lt;&gt;"Ready","",IF($B$6+72&gt;=$B$8,"",IF(A109&lt;$B$7,0,12*$B$12)))</f>
      </c>
      <c r="F109" s="3">
        <f>IF($B$22&lt;&gt;"Ready","",IF($B$6+72&gt;=$B$8,"",MAX(0,E109-D109)))</f>
      </c>
      <c r="G109" s="3">
        <f>IF($B$22&lt;&gt;"Ready","",IF($B$6+72&gt;=$B$8,"",MAX(0,B109*(1+$B$27)+C109-F109)))</f>
      </c>
      <c r="H109" s="3">
        <f>IF($B$22&lt;&gt;"Ready","",IF($B$6+72&gt;=$B$8,"",ROUND(IF(ABS((MAX(0,F109-(B109*(1+$B$27)+C109))*100)-(INT(MAX(0,F109-(B109*(1+$B$27)+C109))*100)+0.5))&lt;=MIN(0.0000001,4*2.220446049250313E-16*MAX(1,ABS(F109),ABS(B109*(1+$B$27)+C109))*100),(INT(MAX(0,F109-(B109*(1+$B$27)+C109))*100)+0.5),MAX(0,F109-(B109*(1+$B$27)+C109))*100),0)/100))</f>
      </c>
      <c r="I109" s="0">
        <f>IF($B$22&lt;&gt;"Ready","",IF($B$6+72&gt;=$B$8,"",IF(I108&lt;&gt;"",I108,IF(H109&gt;0,A109+1,""))))</f>
      </c>
    </row>
    <row r="110" ht="15" customHeight="1">
      <c r="A110" s="0">
        <f>IF($B$22&lt;&gt;"Ready","",IF($B$6+73&gt;=$B$8,"",$B$6+73))</f>
      </c>
      <c r="B110" s="3">
        <f>IF($B$22&lt;&gt;"Ready","",IF($B$6+73&gt;=$B$8,"",G109))</f>
      </c>
      <c r="C110" s="3">
        <f>IF($B$22&lt;&gt;"Ready","",IF($B$6+73&gt;=$B$8,"",IF(A110&lt;$B$7,12*($B$10+$B$11),0)))</f>
      </c>
      <c r="D110" s="3">
        <f>IF($B$22&lt;&gt;"Ready","",IF($B$6+73&gt;=$B$8,"",IF(A110&lt;$B$7,0,12*(IF($B$13&gt;0,IF(A110&gt;=$B$14,$B$13,0),0)+IF($B$15&gt;0,IF(A110&gt;=$B$16,$B$15,0),0)))))</f>
      </c>
      <c r="E110" s="3">
        <f>IF($B$22&lt;&gt;"Ready","",IF($B$6+73&gt;=$B$8,"",IF(A110&lt;$B$7,0,12*$B$12)))</f>
      </c>
      <c r="F110" s="3">
        <f>IF($B$22&lt;&gt;"Ready","",IF($B$6+73&gt;=$B$8,"",MAX(0,E110-D110)))</f>
      </c>
      <c r="G110" s="3">
        <f>IF($B$22&lt;&gt;"Ready","",IF($B$6+73&gt;=$B$8,"",MAX(0,B110*(1+$B$27)+C110-F110)))</f>
      </c>
      <c r="H110" s="3">
        <f>IF($B$22&lt;&gt;"Ready","",IF($B$6+73&gt;=$B$8,"",ROUND(IF(ABS((MAX(0,F110-(B110*(1+$B$27)+C110))*100)-(INT(MAX(0,F110-(B110*(1+$B$27)+C110))*100)+0.5))&lt;=MIN(0.0000001,4*2.220446049250313E-16*MAX(1,ABS(F110),ABS(B110*(1+$B$27)+C110))*100),(INT(MAX(0,F110-(B110*(1+$B$27)+C110))*100)+0.5),MAX(0,F110-(B110*(1+$B$27)+C110))*100),0)/100))</f>
      </c>
      <c r="I110" s="0">
        <f>IF($B$22&lt;&gt;"Ready","",IF($B$6+73&gt;=$B$8,"",IF(I109&lt;&gt;"",I109,IF(H110&gt;0,A110+1,""))))</f>
      </c>
    </row>
    <row r="111" ht="15" customHeight="1">
      <c r="A111" s="0">
        <f>IF($B$22&lt;&gt;"Ready","",IF($B$6+74&gt;=$B$8,"",$B$6+74))</f>
      </c>
      <c r="B111" s="3">
        <f>IF($B$22&lt;&gt;"Ready","",IF($B$6+74&gt;=$B$8,"",G110))</f>
      </c>
      <c r="C111" s="3">
        <f>IF($B$22&lt;&gt;"Ready","",IF($B$6+74&gt;=$B$8,"",IF(A111&lt;$B$7,12*($B$10+$B$11),0)))</f>
      </c>
      <c r="D111" s="3">
        <f>IF($B$22&lt;&gt;"Ready","",IF($B$6+74&gt;=$B$8,"",IF(A111&lt;$B$7,0,12*(IF($B$13&gt;0,IF(A111&gt;=$B$14,$B$13,0),0)+IF($B$15&gt;0,IF(A111&gt;=$B$16,$B$15,0),0)))))</f>
      </c>
      <c r="E111" s="3">
        <f>IF($B$22&lt;&gt;"Ready","",IF($B$6+74&gt;=$B$8,"",IF(A111&lt;$B$7,0,12*$B$12)))</f>
      </c>
      <c r="F111" s="3">
        <f>IF($B$22&lt;&gt;"Ready","",IF($B$6+74&gt;=$B$8,"",MAX(0,E111-D111)))</f>
      </c>
      <c r="G111" s="3">
        <f>IF($B$22&lt;&gt;"Ready","",IF($B$6+74&gt;=$B$8,"",MAX(0,B111*(1+$B$27)+C111-F111)))</f>
      </c>
      <c r="H111" s="3">
        <f>IF($B$22&lt;&gt;"Ready","",IF($B$6+74&gt;=$B$8,"",ROUND(IF(ABS((MAX(0,F111-(B111*(1+$B$27)+C111))*100)-(INT(MAX(0,F111-(B111*(1+$B$27)+C111))*100)+0.5))&lt;=MIN(0.0000001,4*2.220446049250313E-16*MAX(1,ABS(F111),ABS(B111*(1+$B$27)+C111))*100),(INT(MAX(0,F111-(B111*(1+$B$27)+C111))*100)+0.5),MAX(0,F111-(B111*(1+$B$27)+C111))*100),0)/100))</f>
      </c>
      <c r="I111" s="0">
        <f>IF($B$22&lt;&gt;"Ready","",IF($B$6+74&gt;=$B$8,"",IF(I110&lt;&gt;"",I110,IF(H111&gt;0,A111+1,""))))</f>
      </c>
    </row>
    <row r="112" ht="15" customHeight="1">
      <c r="A112" s="0">
        <f>IF($B$22&lt;&gt;"Ready","",IF($B$6+75&gt;=$B$8,"",$B$6+75))</f>
      </c>
      <c r="B112" s="3">
        <f>IF($B$22&lt;&gt;"Ready","",IF($B$6+75&gt;=$B$8,"",G111))</f>
      </c>
      <c r="C112" s="3">
        <f>IF($B$22&lt;&gt;"Ready","",IF($B$6+75&gt;=$B$8,"",IF(A112&lt;$B$7,12*($B$10+$B$11),0)))</f>
      </c>
      <c r="D112" s="3">
        <f>IF($B$22&lt;&gt;"Ready","",IF($B$6+75&gt;=$B$8,"",IF(A112&lt;$B$7,0,12*(IF($B$13&gt;0,IF(A112&gt;=$B$14,$B$13,0),0)+IF($B$15&gt;0,IF(A112&gt;=$B$16,$B$15,0),0)))))</f>
      </c>
      <c r="E112" s="3">
        <f>IF($B$22&lt;&gt;"Ready","",IF($B$6+75&gt;=$B$8,"",IF(A112&lt;$B$7,0,12*$B$12)))</f>
      </c>
      <c r="F112" s="3">
        <f>IF($B$22&lt;&gt;"Ready","",IF($B$6+75&gt;=$B$8,"",MAX(0,E112-D112)))</f>
      </c>
      <c r="G112" s="3">
        <f>IF($B$22&lt;&gt;"Ready","",IF($B$6+75&gt;=$B$8,"",MAX(0,B112*(1+$B$27)+C112-F112)))</f>
      </c>
      <c r="H112" s="3">
        <f>IF($B$22&lt;&gt;"Ready","",IF($B$6+75&gt;=$B$8,"",ROUND(IF(ABS((MAX(0,F112-(B112*(1+$B$27)+C112))*100)-(INT(MAX(0,F112-(B112*(1+$B$27)+C112))*100)+0.5))&lt;=MIN(0.0000001,4*2.220446049250313E-16*MAX(1,ABS(F112),ABS(B112*(1+$B$27)+C112))*100),(INT(MAX(0,F112-(B112*(1+$B$27)+C112))*100)+0.5),MAX(0,F112-(B112*(1+$B$27)+C112))*100),0)/100))</f>
      </c>
      <c r="I112" s="0">
        <f>IF($B$22&lt;&gt;"Ready","",IF($B$6+75&gt;=$B$8,"",IF(I111&lt;&gt;"",I111,IF(H112&gt;0,A112+1,""))))</f>
      </c>
    </row>
    <row r="113" ht="15" customHeight="1">
      <c r="A113" s="0">
        <f>IF($B$22&lt;&gt;"Ready","",IF($B$6+76&gt;=$B$8,"",$B$6+76))</f>
      </c>
      <c r="B113" s="3">
        <f>IF($B$22&lt;&gt;"Ready","",IF($B$6+76&gt;=$B$8,"",G112))</f>
      </c>
      <c r="C113" s="3">
        <f>IF($B$22&lt;&gt;"Ready","",IF($B$6+76&gt;=$B$8,"",IF(A113&lt;$B$7,12*($B$10+$B$11),0)))</f>
      </c>
      <c r="D113" s="3">
        <f>IF($B$22&lt;&gt;"Ready","",IF($B$6+76&gt;=$B$8,"",IF(A113&lt;$B$7,0,12*(IF($B$13&gt;0,IF(A113&gt;=$B$14,$B$13,0),0)+IF($B$15&gt;0,IF(A113&gt;=$B$16,$B$15,0),0)))))</f>
      </c>
      <c r="E113" s="3">
        <f>IF($B$22&lt;&gt;"Ready","",IF($B$6+76&gt;=$B$8,"",IF(A113&lt;$B$7,0,12*$B$12)))</f>
      </c>
      <c r="F113" s="3">
        <f>IF($B$22&lt;&gt;"Ready","",IF($B$6+76&gt;=$B$8,"",MAX(0,E113-D113)))</f>
      </c>
      <c r="G113" s="3">
        <f>IF($B$22&lt;&gt;"Ready","",IF($B$6+76&gt;=$B$8,"",MAX(0,B113*(1+$B$27)+C113-F113)))</f>
      </c>
      <c r="H113" s="3">
        <f>IF($B$22&lt;&gt;"Ready","",IF($B$6+76&gt;=$B$8,"",ROUND(IF(ABS((MAX(0,F113-(B113*(1+$B$27)+C113))*100)-(INT(MAX(0,F113-(B113*(1+$B$27)+C113))*100)+0.5))&lt;=MIN(0.0000001,4*2.220446049250313E-16*MAX(1,ABS(F113),ABS(B113*(1+$B$27)+C113))*100),(INT(MAX(0,F113-(B113*(1+$B$27)+C113))*100)+0.5),MAX(0,F113-(B113*(1+$B$27)+C113))*100),0)/100))</f>
      </c>
      <c r="I113" s="0">
        <f>IF($B$22&lt;&gt;"Ready","",IF($B$6+76&gt;=$B$8,"",IF(I112&lt;&gt;"",I112,IF(H113&gt;0,A113+1,""))))</f>
      </c>
    </row>
    <row r="114" ht="15" customHeight="1">
      <c r="A114" s="0">
        <f>IF($B$22&lt;&gt;"Ready","",IF($B$6+77&gt;=$B$8,"",$B$6+77))</f>
      </c>
      <c r="B114" s="3">
        <f>IF($B$22&lt;&gt;"Ready","",IF($B$6+77&gt;=$B$8,"",G113))</f>
      </c>
      <c r="C114" s="3">
        <f>IF($B$22&lt;&gt;"Ready","",IF($B$6+77&gt;=$B$8,"",IF(A114&lt;$B$7,12*($B$10+$B$11),0)))</f>
      </c>
      <c r="D114" s="3">
        <f>IF($B$22&lt;&gt;"Ready","",IF($B$6+77&gt;=$B$8,"",IF(A114&lt;$B$7,0,12*(IF($B$13&gt;0,IF(A114&gt;=$B$14,$B$13,0),0)+IF($B$15&gt;0,IF(A114&gt;=$B$16,$B$15,0),0)))))</f>
      </c>
      <c r="E114" s="3">
        <f>IF($B$22&lt;&gt;"Ready","",IF($B$6+77&gt;=$B$8,"",IF(A114&lt;$B$7,0,12*$B$12)))</f>
      </c>
      <c r="F114" s="3">
        <f>IF($B$22&lt;&gt;"Ready","",IF($B$6+77&gt;=$B$8,"",MAX(0,E114-D114)))</f>
      </c>
      <c r="G114" s="3">
        <f>IF($B$22&lt;&gt;"Ready","",IF($B$6+77&gt;=$B$8,"",MAX(0,B114*(1+$B$27)+C114-F114)))</f>
      </c>
      <c r="H114" s="3">
        <f>IF($B$22&lt;&gt;"Ready","",IF($B$6+77&gt;=$B$8,"",ROUND(IF(ABS((MAX(0,F114-(B114*(1+$B$27)+C114))*100)-(INT(MAX(0,F114-(B114*(1+$B$27)+C114))*100)+0.5))&lt;=MIN(0.0000001,4*2.220446049250313E-16*MAX(1,ABS(F114),ABS(B114*(1+$B$27)+C114))*100),(INT(MAX(0,F114-(B114*(1+$B$27)+C114))*100)+0.5),MAX(0,F114-(B114*(1+$B$27)+C114))*100),0)/100))</f>
      </c>
      <c r="I114" s="0">
        <f>IF($B$22&lt;&gt;"Ready","",IF($B$6+77&gt;=$B$8,"",IF(I113&lt;&gt;"",I113,IF(H114&gt;0,A114+1,""))))</f>
      </c>
    </row>
    <row r="115" ht="15" customHeight="1">
      <c r="A115" s="0">
        <f>IF($B$22&lt;&gt;"Ready","",IF($B$6+78&gt;=$B$8,"",$B$6+78))</f>
      </c>
      <c r="B115" s="3">
        <f>IF($B$22&lt;&gt;"Ready","",IF($B$6+78&gt;=$B$8,"",G114))</f>
      </c>
      <c r="C115" s="3">
        <f>IF($B$22&lt;&gt;"Ready","",IF($B$6+78&gt;=$B$8,"",IF(A115&lt;$B$7,12*($B$10+$B$11),0)))</f>
      </c>
      <c r="D115" s="3">
        <f>IF($B$22&lt;&gt;"Ready","",IF($B$6+78&gt;=$B$8,"",IF(A115&lt;$B$7,0,12*(IF($B$13&gt;0,IF(A115&gt;=$B$14,$B$13,0),0)+IF($B$15&gt;0,IF(A115&gt;=$B$16,$B$15,0),0)))))</f>
      </c>
      <c r="E115" s="3">
        <f>IF($B$22&lt;&gt;"Ready","",IF($B$6+78&gt;=$B$8,"",IF(A115&lt;$B$7,0,12*$B$12)))</f>
      </c>
      <c r="F115" s="3">
        <f>IF($B$22&lt;&gt;"Ready","",IF($B$6+78&gt;=$B$8,"",MAX(0,E115-D115)))</f>
      </c>
      <c r="G115" s="3">
        <f>IF($B$22&lt;&gt;"Ready","",IF($B$6+78&gt;=$B$8,"",MAX(0,B115*(1+$B$27)+C115-F115)))</f>
      </c>
      <c r="H115" s="3">
        <f>IF($B$22&lt;&gt;"Ready","",IF($B$6+78&gt;=$B$8,"",ROUND(IF(ABS((MAX(0,F115-(B115*(1+$B$27)+C115))*100)-(INT(MAX(0,F115-(B115*(1+$B$27)+C115))*100)+0.5))&lt;=MIN(0.0000001,4*2.220446049250313E-16*MAX(1,ABS(F115),ABS(B115*(1+$B$27)+C115))*100),(INT(MAX(0,F115-(B115*(1+$B$27)+C115))*100)+0.5),MAX(0,F115-(B115*(1+$B$27)+C115))*100),0)/100))</f>
      </c>
      <c r="I115" s="0">
        <f>IF($B$22&lt;&gt;"Ready","",IF($B$6+78&gt;=$B$8,"",IF(I114&lt;&gt;"",I114,IF(H115&gt;0,A115+1,""))))</f>
      </c>
    </row>
    <row r="116" ht="15" customHeight="1">
      <c r="A116" s="0">
        <f>IF($B$22&lt;&gt;"Ready","",IF($B$6+79&gt;=$B$8,"",$B$6+79))</f>
      </c>
      <c r="B116" s="3">
        <f>IF($B$22&lt;&gt;"Ready","",IF($B$6+79&gt;=$B$8,"",G115))</f>
      </c>
      <c r="C116" s="3">
        <f>IF($B$22&lt;&gt;"Ready","",IF($B$6+79&gt;=$B$8,"",IF(A116&lt;$B$7,12*($B$10+$B$11),0)))</f>
      </c>
      <c r="D116" s="3">
        <f>IF($B$22&lt;&gt;"Ready","",IF($B$6+79&gt;=$B$8,"",IF(A116&lt;$B$7,0,12*(IF($B$13&gt;0,IF(A116&gt;=$B$14,$B$13,0),0)+IF($B$15&gt;0,IF(A116&gt;=$B$16,$B$15,0),0)))))</f>
      </c>
      <c r="E116" s="3">
        <f>IF($B$22&lt;&gt;"Ready","",IF($B$6+79&gt;=$B$8,"",IF(A116&lt;$B$7,0,12*$B$12)))</f>
      </c>
      <c r="F116" s="3">
        <f>IF($B$22&lt;&gt;"Ready","",IF($B$6+79&gt;=$B$8,"",MAX(0,E116-D116)))</f>
      </c>
      <c r="G116" s="3">
        <f>IF($B$22&lt;&gt;"Ready","",IF($B$6+79&gt;=$B$8,"",MAX(0,B116*(1+$B$27)+C116-F116)))</f>
      </c>
      <c r="H116" s="3">
        <f>IF($B$22&lt;&gt;"Ready","",IF($B$6+79&gt;=$B$8,"",ROUND(IF(ABS((MAX(0,F116-(B116*(1+$B$27)+C116))*100)-(INT(MAX(0,F116-(B116*(1+$B$27)+C116))*100)+0.5))&lt;=MIN(0.0000001,4*2.220446049250313E-16*MAX(1,ABS(F116),ABS(B116*(1+$B$27)+C116))*100),(INT(MAX(0,F116-(B116*(1+$B$27)+C116))*100)+0.5),MAX(0,F116-(B116*(1+$B$27)+C116))*100),0)/100))</f>
      </c>
      <c r="I116" s="0">
        <f>IF($B$22&lt;&gt;"Ready","",IF($B$6+79&gt;=$B$8,"",IF(I115&lt;&gt;"",I115,IF(H116&gt;0,A116+1,""))))</f>
      </c>
    </row>
    <row r="117" ht="15" customHeight="1">
      <c r="A117" s="0">
        <f>IF($B$22&lt;&gt;"Ready","",IF($B$6+80&gt;=$B$8,"",$B$6+80))</f>
      </c>
      <c r="B117" s="3">
        <f>IF($B$22&lt;&gt;"Ready","",IF($B$6+80&gt;=$B$8,"",G116))</f>
      </c>
      <c r="C117" s="3">
        <f>IF($B$22&lt;&gt;"Ready","",IF($B$6+80&gt;=$B$8,"",IF(A117&lt;$B$7,12*($B$10+$B$11),0)))</f>
      </c>
      <c r="D117" s="3">
        <f>IF($B$22&lt;&gt;"Ready","",IF($B$6+80&gt;=$B$8,"",IF(A117&lt;$B$7,0,12*(IF($B$13&gt;0,IF(A117&gt;=$B$14,$B$13,0),0)+IF($B$15&gt;0,IF(A117&gt;=$B$16,$B$15,0),0)))))</f>
      </c>
      <c r="E117" s="3">
        <f>IF($B$22&lt;&gt;"Ready","",IF($B$6+80&gt;=$B$8,"",IF(A117&lt;$B$7,0,12*$B$12)))</f>
      </c>
      <c r="F117" s="3">
        <f>IF($B$22&lt;&gt;"Ready","",IF($B$6+80&gt;=$B$8,"",MAX(0,E117-D117)))</f>
      </c>
      <c r="G117" s="3">
        <f>IF($B$22&lt;&gt;"Ready","",IF($B$6+80&gt;=$B$8,"",MAX(0,B117*(1+$B$27)+C117-F117)))</f>
      </c>
      <c r="H117" s="3">
        <f>IF($B$22&lt;&gt;"Ready","",IF($B$6+80&gt;=$B$8,"",ROUND(IF(ABS((MAX(0,F117-(B117*(1+$B$27)+C117))*100)-(INT(MAX(0,F117-(B117*(1+$B$27)+C117))*100)+0.5))&lt;=MIN(0.0000001,4*2.220446049250313E-16*MAX(1,ABS(F117),ABS(B117*(1+$B$27)+C117))*100),(INT(MAX(0,F117-(B117*(1+$B$27)+C117))*100)+0.5),MAX(0,F117-(B117*(1+$B$27)+C117))*100),0)/100))</f>
      </c>
      <c r="I117" s="0">
        <f>IF($B$22&lt;&gt;"Ready","",IF($B$6+80&gt;=$B$8,"",IF(I116&lt;&gt;"",I116,IF(H117&gt;0,A117+1,""))))</f>
      </c>
    </row>
    <row r="118" ht="15" customHeight="1">
      <c r="A118" s="0">
        <f>IF($B$22&lt;&gt;"Ready","",IF($B$6+81&gt;=$B$8,"",$B$6+81))</f>
      </c>
      <c r="B118" s="3">
        <f>IF($B$22&lt;&gt;"Ready","",IF($B$6+81&gt;=$B$8,"",G117))</f>
      </c>
      <c r="C118" s="3">
        <f>IF($B$22&lt;&gt;"Ready","",IF($B$6+81&gt;=$B$8,"",IF(A118&lt;$B$7,12*($B$10+$B$11),0)))</f>
      </c>
      <c r="D118" s="3">
        <f>IF($B$22&lt;&gt;"Ready","",IF($B$6+81&gt;=$B$8,"",IF(A118&lt;$B$7,0,12*(IF($B$13&gt;0,IF(A118&gt;=$B$14,$B$13,0),0)+IF($B$15&gt;0,IF(A118&gt;=$B$16,$B$15,0),0)))))</f>
      </c>
      <c r="E118" s="3">
        <f>IF($B$22&lt;&gt;"Ready","",IF($B$6+81&gt;=$B$8,"",IF(A118&lt;$B$7,0,12*$B$12)))</f>
      </c>
      <c r="F118" s="3">
        <f>IF($B$22&lt;&gt;"Ready","",IF($B$6+81&gt;=$B$8,"",MAX(0,E118-D118)))</f>
      </c>
      <c r="G118" s="3">
        <f>IF($B$22&lt;&gt;"Ready","",IF($B$6+81&gt;=$B$8,"",MAX(0,B118*(1+$B$27)+C118-F118)))</f>
      </c>
      <c r="H118" s="3">
        <f>IF($B$22&lt;&gt;"Ready","",IF($B$6+81&gt;=$B$8,"",ROUND(IF(ABS((MAX(0,F118-(B118*(1+$B$27)+C118))*100)-(INT(MAX(0,F118-(B118*(1+$B$27)+C118))*100)+0.5))&lt;=MIN(0.0000001,4*2.220446049250313E-16*MAX(1,ABS(F118),ABS(B118*(1+$B$27)+C118))*100),(INT(MAX(0,F118-(B118*(1+$B$27)+C118))*100)+0.5),MAX(0,F118-(B118*(1+$B$27)+C118))*100),0)/100))</f>
      </c>
      <c r="I118" s="0">
        <f>IF($B$22&lt;&gt;"Ready","",IF($B$6+81&gt;=$B$8,"",IF(I117&lt;&gt;"",I117,IF(H118&gt;0,A118+1,""))))</f>
      </c>
    </row>
    <row r="119" ht="15" customHeight="1">
      <c r="A119" s="0">
        <f>IF($B$22&lt;&gt;"Ready","",IF($B$6+82&gt;=$B$8,"",$B$6+82))</f>
      </c>
      <c r="B119" s="3">
        <f>IF($B$22&lt;&gt;"Ready","",IF($B$6+82&gt;=$B$8,"",G118))</f>
      </c>
      <c r="C119" s="3">
        <f>IF($B$22&lt;&gt;"Ready","",IF($B$6+82&gt;=$B$8,"",IF(A119&lt;$B$7,12*($B$10+$B$11),0)))</f>
      </c>
      <c r="D119" s="3">
        <f>IF($B$22&lt;&gt;"Ready","",IF($B$6+82&gt;=$B$8,"",IF(A119&lt;$B$7,0,12*(IF($B$13&gt;0,IF(A119&gt;=$B$14,$B$13,0),0)+IF($B$15&gt;0,IF(A119&gt;=$B$16,$B$15,0),0)))))</f>
      </c>
      <c r="E119" s="3">
        <f>IF($B$22&lt;&gt;"Ready","",IF($B$6+82&gt;=$B$8,"",IF(A119&lt;$B$7,0,12*$B$12)))</f>
      </c>
      <c r="F119" s="3">
        <f>IF($B$22&lt;&gt;"Ready","",IF($B$6+82&gt;=$B$8,"",MAX(0,E119-D119)))</f>
      </c>
      <c r="G119" s="3">
        <f>IF($B$22&lt;&gt;"Ready","",IF($B$6+82&gt;=$B$8,"",MAX(0,B119*(1+$B$27)+C119-F119)))</f>
      </c>
      <c r="H119" s="3">
        <f>IF($B$22&lt;&gt;"Ready","",IF($B$6+82&gt;=$B$8,"",ROUND(IF(ABS((MAX(0,F119-(B119*(1+$B$27)+C119))*100)-(INT(MAX(0,F119-(B119*(1+$B$27)+C119))*100)+0.5))&lt;=MIN(0.0000001,4*2.220446049250313E-16*MAX(1,ABS(F119),ABS(B119*(1+$B$27)+C119))*100),(INT(MAX(0,F119-(B119*(1+$B$27)+C119))*100)+0.5),MAX(0,F119-(B119*(1+$B$27)+C119))*100),0)/100))</f>
      </c>
      <c r="I119" s="0">
        <f>IF($B$22&lt;&gt;"Ready","",IF($B$6+82&gt;=$B$8,"",IF(I118&lt;&gt;"",I118,IF(H119&gt;0,A119+1,""))))</f>
      </c>
    </row>
    <row r="120" ht="15" customHeight="1">
      <c r="A120" s="0">
        <f>IF($B$22&lt;&gt;"Ready","",IF($B$6+83&gt;=$B$8,"",$B$6+83))</f>
      </c>
      <c r="B120" s="3">
        <f>IF($B$22&lt;&gt;"Ready","",IF($B$6+83&gt;=$B$8,"",G119))</f>
      </c>
      <c r="C120" s="3">
        <f>IF($B$22&lt;&gt;"Ready","",IF($B$6+83&gt;=$B$8,"",IF(A120&lt;$B$7,12*($B$10+$B$11),0)))</f>
      </c>
      <c r="D120" s="3">
        <f>IF($B$22&lt;&gt;"Ready","",IF($B$6+83&gt;=$B$8,"",IF(A120&lt;$B$7,0,12*(IF($B$13&gt;0,IF(A120&gt;=$B$14,$B$13,0),0)+IF($B$15&gt;0,IF(A120&gt;=$B$16,$B$15,0),0)))))</f>
      </c>
      <c r="E120" s="3">
        <f>IF($B$22&lt;&gt;"Ready","",IF($B$6+83&gt;=$B$8,"",IF(A120&lt;$B$7,0,12*$B$12)))</f>
      </c>
      <c r="F120" s="3">
        <f>IF($B$22&lt;&gt;"Ready","",IF($B$6+83&gt;=$B$8,"",MAX(0,E120-D120)))</f>
      </c>
      <c r="G120" s="3">
        <f>IF($B$22&lt;&gt;"Ready","",IF($B$6+83&gt;=$B$8,"",MAX(0,B120*(1+$B$27)+C120-F120)))</f>
      </c>
      <c r="H120" s="3">
        <f>IF($B$22&lt;&gt;"Ready","",IF($B$6+83&gt;=$B$8,"",ROUND(IF(ABS((MAX(0,F120-(B120*(1+$B$27)+C120))*100)-(INT(MAX(0,F120-(B120*(1+$B$27)+C120))*100)+0.5))&lt;=MIN(0.0000001,4*2.220446049250313E-16*MAX(1,ABS(F120),ABS(B120*(1+$B$27)+C120))*100),(INT(MAX(0,F120-(B120*(1+$B$27)+C120))*100)+0.5),MAX(0,F120-(B120*(1+$B$27)+C120))*100),0)/100))</f>
      </c>
      <c r="I120" s="0">
        <f>IF($B$22&lt;&gt;"Ready","",IF($B$6+83&gt;=$B$8,"",IF(I119&lt;&gt;"",I119,IF(H120&gt;0,A120+1,""))))</f>
      </c>
    </row>
    <row r="121" ht="15" customHeight="1">
      <c r="A121" s="0">
        <f>IF($B$22&lt;&gt;"Ready","",IF($B$6+84&gt;=$B$8,"",$B$6+84))</f>
      </c>
      <c r="B121" s="3">
        <f>IF($B$22&lt;&gt;"Ready","",IF($B$6+84&gt;=$B$8,"",G120))</f>
      </c>
      <c r="C121" s="3">
        <f>IF($B$22&lt;&gt;"Ready","",IF($B$6+84&gt;=$B$8,"",IF(A121&lt;$B$7,12*($B$10+$B$11),0)))</f>
      </c>
      <c r="D121" s="3">
        <f>IF($B$22&lt;&gt;"Ready","",IF($B$6+84&gt;=$B$8,"",IF(A121&lt;$B$7,0,12*(IF($B$13&gt;0,IF(A121&gt;=$B$14,$B$13,0),0)+IF($B$15&gt;0,IF(A121&gt;=$B$16,$B$15,0),0)))))</f>
      </c>
      <c r="E121" s="3">
        <f>IF($B$22&lt;&gt;"Ready","",IF($B$6+84&gt;=$B$8,"",IF(A121&lt;$B$7,0,12*$B$12)))</f>
      </c>
      <c r="F121" s="3">
        <f>IF($B$22&lt;&gt;"Ready","",IF($B$6+84&gt;=$B$8,"",MAX(0,E121-D121)))</f>
      </c>
      <c r="G121" s="3">
        <f>IF($B$22&lt;&gt;"Ready","",IF($B$6+84&gt;=$B$8,"",MAX(0,B121*(1+$B$27)+C121-F121)))</f>
      </c>
      <c r="H121" s="3">
        <f>IF($B$22&lt;&gt;"Ready","",IF($B$6+84&gt;=$B$8,"",ROUND(IF(ABS((MAX(0,F121-(B121*(1+$B$27)+C121))*100)-(INT(MAX(0,F121-(B121*(1+$B$27)+C121))*100)+0.5))&lt;=MIN(0.0000001,4*2.220446049250313E-16*MAX(1,ABS(F121),ABS(B121*(1+$B$27)+C121))*100),(INT(MAX(0,F121-(B121*(1+$B$27)+C121))*100)+0.5),MAX(0,F121-(B121*(1+$B$27)+C121))*100),0)/100))</f>
      </c>
      <c r="I121" s="0">
        <f>IF($B$22&lt;&gt;"Ready","",IF($B$6+84&gt;=$B$8,"",IF(I120&lt;&gt;"",I120,IF(H121&gt;0,A121+1,""))))</f>
      </c>
    </row>
    <row r="122" ht="15" customHeight="1">
      <c r="A122" s="0">
        <f>IF($B$22&lt;&gt;"Ready","",IF($B$6+85&gt;=$B$8,"",$B$6+85))</f>
      </c>
      <c r="B122" s="3">
        <f>IF($B$22&lt;&gt;"Ready","",IF($B$6+85&gt;=$B$8,"",G121))</f>
      </c>
      <c r="C122" s="3">
        <f>IF($B$22&lt;&gt;"Ready","",IF($B$6+85&gt;=$B$8,"",IF(A122&lt;$B$7,12*($B$10+$B$11),0)))</f>
      </c>
      <c r="D122" s="3">
        <f>IF($B$22&lt;&gt;"Ready","",IF($B$6+85&gt;=$B$8,"",IF(A122&lt;$B$7,0,12*(IF($B$13&gt;0,IF(A122&gt;=$B$14,$B$13,0),0)+IF($B$15&gt;0,IF(A122&gt;=$B$16,$B$15,0),0)))))</f>
      </c>
      <c r="E122" s="3">
        <f>IF($B$22&lt;&gt;"Ready","",IF($B$6+85&gt;=$B$8,"",IF(A122&lt;$B$7,0,12*$B$12)))</f>
      </c>
      <c r="F122" s="3">
        <f>IF($B$22&lt;&gt;"Ready","",IF($B$6+85&gt;=$B$8,"",MAX(0,E122-D122)))</f>
      </c>
      <c r="G122" s="3">
        <f>IF($B$22&lt;&gt;"Ready","",IF($B$6+85&gt;=$B$8,"",MAX(0,B122*(1+$B$27)+C122-F122)))</f>
      </c>
      <c r="H122" s="3">
        <f>IF($B$22&lt;&gt;"Ready","",IF($B$6+85&gt;=$B$8,"",ROUND(IF(ABS((MAX(0,F122-(B122*(1+$B$27)+C122))*100)-(INT(MAX(0,F122-(B122*(1+$B$27)+C122))*100)+0.5))&lt;=MIN(0.0000001,4*2.220446049250313E-16*MAX(1,ABS(F122),ABS(B122*(1+$B$27)+C122))*100),(INT(MAX(0,F122-(B122*(1+$B$27)+C122))*100)+0.5),MAX(0,F122-(B122*(1+$B$27)+C122))*100),0)/100))</f>
      </c>
      <c r="I122" s="0">
        <f>IF($B$22&lt;&gt;"Ready","",IF($B$6+85&gt;=$B$8,"",IF(I121&lt;&gt;"",I121,IF(H122&gt;0,A122+1,""))))</f>
      </c>
    </row>
    <row r="123" ht="15" customHeight="1">
      <c r="A123" s="0">
        <f>IF($B$22&lt;&gt;"Ready","",IF($B$6+86&gt;=$B$8,"",$B$6+86))</f>
      </c>
      <c r="B123" s="3">
        <f>IF($B$22&lt;&gt;"Ready","",IF($B$6+86&gt;=$B$8,"",G122))</f>
      </c>
      <c r="C123" s="3">
        <f>IF($B$22&lt;&gt;"Ready","",IF($B$6+86&gt;=$B$8,"",IF(A123&lt;$B$7,12*($B$10+$B$11),0)))</f>
      </c>
      <c r="D123" s="3">
        <f>IF($B$22&lt;&gt;"Ready","",IF($B$6+86&gt;=$B$8,"",IF(A123&lt;$B$7,0,12*(IF($B$13&gt;0,IF(A123&gt;=$B$14,$B$13,0),0)+IF($B$15&gt;0,IF(A123&gt;=$B$16,$B$15,0),0)))))</f>
      </c>
      <c r="E123" s="3">
        <f>IF($B$22&lt;&gt;"Ready","",IF($B$6+86&gt;=$B$8,"",IF(A123&lt;$B$7,0,12*$B$12)))</f>
      </c>
      <c r="F123" s="3">
        <f>IF($B$22&lt;&gt;"Ready","",IF($B$6+86&gt;=$B$8,"",MAX(0,E123-D123)))</f>
      </c>
      <c r="G123" s="3">
        <f>IF($B$22&lt;&gt;"Ready","",IF($B$6+86&gt;=$B$8,"",MAX(0,B123*(1+$B$27)+C123-F123)))</f>
      </c>
      <c r="H123" s="3">
        <f>IF($B$22&lt;&gt;"Ready","",IF($B$6+86&gt;=$B$8,"",ROUND(IF(ABS((MAX(0,F123-(B123*(1+$B$27)+C123))*100)-(INT(MAX(0,F123-(B123*(1+$B$27)+C123))*100)+0.5))&lt;=MIN(0.0000001,4*2.220446049250313E-16*MAX(1,ABS(F123),ABS(B123*(1+$B$27)+C123))*100),(INT(MAX(0,F123-(B123*(1+$B$27)+C123))*100)+0.5),MAX(0,F123-(B123*(1+$B$27)+C123))*100),0)/100))</f>
      </c>
      <c r="I123" s="0">
        <f>IF($B$22&lt;&gt;"Ready","",IF($B$6+86&gt;=$B$8,"",IF(I122&lt;&gt;"",I122,IF(H123&gt;0,A123+1,""))))</f>
      </c>
    </row>
    <row r="124" ht="15" customHeight="1">
      <c r="A124" s="0">
        <f>IF($B$22&lt;&gt;"Ready","",IF($B$6+87&gt;=$B$8,"",$B$6+87))</f>
      </c>
      <c r="B124" s="3">
        <f>IF($B$22&lt;&gt;"Ready","",IF($B$6+87&gt;=$B$8,"",G123))</f>
      </c>
      <c r="C124" s="3">
        <f>IF($B$22&lt;&gt;"Ready","",IF($B$6+87&gt;=$B$8,"",IF(A124&lt;$B$7,12*($B$10+$B$11),0)))</f>
      </c>
      <c r="D124" s="3">
        <f>IF($B$22&lt;&gt;"Ready","",IF($B$6+87&gt;=$B$8,"",IF(A124&lt;$B$7,0,12*(IF($B$13&gt;0,IF(A124&gt;=$B$14,$B$13,0),0)+IF($B$15&gt;0,IF(A124&gt;=$B$16,$B$15,0),0)))))</f>
      </c>
      <c r="E124" s="3">
        <f>IF($B$22&lt;&gt;"Ready","",IF($B$6+87&gt;=$B$8,"",IF(A124&lt;$B$7,0,12*$B$12)))</f>
      </c>
      <c r="F124" s="3">
        <f>IF($B$22&lt;&gt;"Ready","",IF($B$6+87&gt;=$B$8,"",MAX(0,E124-D124)))</f>
      </c>
      <c r="G124" s="3">
        <f>IF($B$22&lt;&gt;"Ready","",IF($B$6+87&gt;=$B$8,"",MAX(0,B124*(1+$B$27)+C124-F124)))</f>
      </c>
      <c r="H124" s="3">
        <f>IF($B$22&lt;&gt;"Ready","",IF($B$6+87&gt;=$B$8,"",ROUND(IF(ABS((MAX(0,F124-(B124*(1+$B$27)+C124))*100)-(INT(MAX(0,F124-(B124*(1+$B$27)+C124))*100)+0.5))&lt;=MIN(0.0000001,4*2.220446049250313E-16*MAX(1,ABS(F124),ABS(B124*(1+$B$27)+C124))*100),(INT(MAX(0,F124-(B124*(1+$B$27)+C124))*100)+0.5),MAX(0,F124-(B124*(1+$B$27)+C124))*100),0)/100))</f>
      </c>
      <c r="I124" s="0">
        <f>IF($B$22&lt;&gt;"Ready","",IF($B$6+87&gt;=$B$8,"",IF(I123&lt;&gt;"",I123,IF(H124&gt;0,A124+1,""))))</f>
      </c>
    </row>
    <row r="125" ht="15" customHeight="1">
      <c r="A125" s="0">
        <f>IF($B$22&lt;&gt;"Ready","",IF($B$6+88&gt;=$B$8,"",$B$6+88))</f>
      </c>
      <c r="B125" s="3">
        <f>IF($B$22&lt;&gt;"Ready","",IF($B$6+88&gt;=$B$8,"",G124))</f>
      </c>
      <c r="C125" s="3">
        <f>IF($B$22&lt;&gt;"Ready","",IF($B$6+88&gt;=$B$8,"",IF(A125&lt;$B$7,12*($B$10+$B$11),0)))</f>
      </c>
      <c r="D125" s="3">
        <f>IF($B$22&lt;&gt;"Ready","",IF($B$6+88&gt;=$B$8,"",IF(A125&lt;$B$7,0,12*(IF($B$13&gt;0,IF(A125&gt;=$B$14,$B$13,0),0)+IF($B$15&gt;0,IF(A125&gt;=$B$16,$B$15,0),0)))))</f>
      </c>
      <c r="E125" s="3">
        <f>IF($B$22&lt;&gt;"Ready","",IF($B$6+88&gt;=$B$8,"",IF(A125&lt;$B$7,0,12*$B$12)))</f>
      </c>
      <c r="F125" s="3">
        <f>IF($B$22&lt;&gt;"Ready","",IF($B$6+88&gt;=$B$8,"",MAX(0,E125-D125)))</f>
      </c>
      <c r="G125" s="3">
        <f>IF($B$22&lt;&gt;"Ready","",IF($B$6+88&gt;=$B$8,"",MAX(0,B125*(1+$B$27)+C125-F125)))</f>
      </c>
      <c r="H125" s="3">
        <f>IF($B$22&lt;&gt;"Ready","",IF($B$6+88&gt;=$B$8,"",ROUND(IF(ABS((MAX(0,F125-(B125*(1+$B$27)+C125))*100)-(INT(MAX(0,F125-(B125*(1+$B$27)+C125))*100)+0.5))&lt;=MIN(0.0000001,4*2.220446049250313E-16*MAX(1,ABS(F125),ABS(B125*(1+$B$27)+C125))*100),(INT(MAX(0,F125-(B125*(1+$B$27)+C125))*100)+0.5),MAX(0,F125-(B125*(1+$B$27)+C125))*100),0)/100))</f>
      </c>
      <c r="I125" s="0">
        <f>IF($B$22&lt;&gt;"Ready","",IF($B$6+88&gt;=$B$8,"",IF(I124&lt;&gt;"",I124,IF(H125&gt;0,A125+1,""))))</f>
      </c>
    </row>
    <row r="126" ht="15" customHeight="1">
      <c r="A126" s="0">
        <f>IF($B$22&lt;&gt;"Ready","",IF($B$6+89&gt;=$B$8,"",$B$6+89))</f>
      </c>
      <c r="B126" s="3">
        <f>IF($B$22&lt;&gt;"Ready","",IF($B$6+89&gt;=$B$8,"",G125))</f>
      </c>
      <c r="C126" s="3">
        <f>IF($B$22&lt;&gt;"Ready","",IF($B$6+89&gt;=$B$8,"",IF(A126&lt;$B$7,12*($B$10+$B$11),0)))</f>
      </c>
      <c r="D126" s="3">
        <f>IF($B$22&lt;&gt;"Ready","",IF($B$6+89&gt;=$B$8,"",IF(A126&lt;$B$7,0,12*(IF($B$13&gt;0,IF(A126&gt;=$B$14,$B$13,0),0)+IF($B$15&gt;0,IF(A126&gt;=$B$16,$B$15,0),0)))))</f>
      </c>
      <c r="E126" s="3">
        <f>IF($B$22&lt;&gt;"Ready","",IF($B$6+89&gt;=$B$8,"",IF(A126&lt;$B$7,0,12*$B$12)))</f>
      </c>
      <c r="F126" s="3">
        <f>IF($B$22&lt;&gt;"Ready","",IF($B$6+89&gt;=$B$8,"",MAX(0,E126-D126)))</f>
      </c>
      <c r="G126" s="3">
        <f>IF($B$22&lt;&gt;"Ready","",IF($B$6+89&gt;=$B$8,"",MAX(0,B126*(1+$B$27)+C126-F126)))</f>
      </c>
      <c r="H126" s="3">
        <f>IF($B$22&lt;&gt;"Ready","",IF($B$6+89&gt;=$B$8,"",ROUND(IF(ABS((MAX(0,F126-(B126*(1+$B$27)+C126))*100)-(INT(MAX(0,F126-(B126*(1+$B$27)+C126))*100)+0.5))&lt;=MIN(0.0000001,4*2.220446049250313E-16*MAX(1,ABS(F126),ABS(B126*(1+$B$27)+C126))*100),(INT(MAX(0,F126-(B126*(1+$B$27)+C126))*100)+0.5),MAX(0,F126-(B126*(1+$B$27)+C126))*100),0)/100))</f>
      </c>
      <c r="I126" s="0">
        <f>IF($B$22&lt;&gt;"Ready","",IF($B$6+89&gt;=$B$8,"",IF(I125&lt;&gt;"",I125,IF(H126&gt;0,A126+1,""))))</f>
      </c>
    </row>
    <row r="127" ht="15" customHeight="1">
      <c r="A127" s="0">
        <f>IF($B$22&lt;&gt;"Ready","",IF($B$6+90&gt;=$B$8,"",$B$6+90))</f>
      </c>
      <c r="B127" s="3">
        <f>IF($B$22&lt;&gt;"Ready","",IF($B$6+90&gt;=$B$8,"",G126))</f>
      </c>
      <c r="C127" s="3">
        <f>IF($B$22&lt;&gt;"Ready","",IF($B$6+90&gt;=$B$8,"",IF(A127&lt;$B$7,12*($B$10+$B$11),0)))</f>
      </c>
      <c r="D127" s="3">
        <f>IF($B$22&lt;&gt;"Ready","",IF($B$6+90&gt;=$B$8,"",IF(A127&lt;$B$7,0,12*(IF($B$13&gt;0,IF(A127&gt;=$B$14,$B$13,0),0)+IF($B$15&gt;0,IF(A127&gt;=$B$16,$B$15,0),0)))))</f>
      </c>
      <c r="E127" s="3">
        <f>IF($B$22&lt;&gt;"Ready","",IF($B$6+90&gt;=$B$8,"",IF(A127&lt;$B$7,0,12*$B$12)))</f>
      </c>
      <c r="F127" s="3">
        <f>IF($B$22&lt;&gt;"Ready","",IF($B$6+90&gt;=$B$8,"",MAX(0,E127-D127)))</f>
      </c>
      <c r="G127" s="3">
        <f>IF($B$22&lt;&gt;"Ready","",IF($B$6+90&gt;=$B$8,"",MAX(0,B127*(1+$B$27)+C127-F127)))</f>
      </c>
      <c r="H127" s="3">
        <f>IF($B$22&lt;&gt;"Ready","",IF($B$6+90&gt;=$B$8,"",ROUND(IF(ABS((MAX(0,F127-(B127*(1+$B$27)+C127))*100)-(INT(MAX(0,F127-(B127*(1+$B$27)+C127))*100)+0.5))&lt;=MIN(0.0000001,4*2.220446049250313E-16*MAX(1,ABS(F127),ABS(B127*(1+$B$27)+C127))*100),(INT(MAX(0,F127-(B127*(1+$B$27)+C127))*100)+0.5),MAX(0,F127-(B127*(1+$B$27)+C127))*100),0)/100))</f>
      </c>
      <c r="I127" s="0">
        <f>IF($B$22&lt;&gt;"Ready","",IF($B$6+90&gt;=$B$8,"",IF(I126&lt;&gt;"",I126,IF(H127&gt;0,A127+1,""))))</f>
      </c>
    </row>
    <row r="128" ht="15" customHeight="1">
      <c r="A128" s="0">
        <f>IF($B$22&lt;&gt;"Ready","",IF($B$6+91&gt;=$B$8,"",$B$6+91))</f>
      </c>
      <c r="B128" s="3">
        <f>IF($B$22&lt;&gt;"Ready","",IF($B$6+91&gt;=$B$8,"",G127))</f>
      </c>
      <c r="C128" s="3">
        <f>IF($B$22&lt;&gt;"Ready","",IF($B$6+91&gt;=$B$8,"",IF(A128&lt;$B$7,12*($B$10+$B$11),0)))</f>
      </c>
      <c r="D128" s="3">
        <f>IF($B$22&lt;&gt;"Ready","",IF($B$6+91&gt;=$B$8,"",IF(A128&lt;$B$7,0,12*(IF($B$13&gt;0,IF(A128&gt;=$B$14,$B$13,0),0)+IF($B$15&gt;0,IF(A128&gt;=$B$16,$B$15,0),0)))))</f>
      </c>
      <c r="E128" s="3">
        <f>IF($B$22&lt;&gt;"Ready","",IF($B$6+91&gt;=$B$8,"",IF(A128&lt;$B$7,0,12*$B$12)))</f>
      </c>
      <c r="F128" s="3">
        <f>IF($B$22&lt;&gt;"Ready","",IF($B$6+91&gt;=$B$8,"",MAX(0,E128-D128)))</f>
      </c>
      <c r="G128" s="3">
        <f>IF($B$22&lt;&gt;"Ready","",IF($B$6+91&gt;=$B$8,"",MAX(0,B128*(1+$B$27)+C128-F128)))</f>
      </c>
      <c r="H128" s="3">
        <f>IF($B$22&lt;&gt;"Ready","",IF($B$6+91&gt;=$B$8,"",ROUND(IF(ABS((MAX(0,F128-(B128*(1+$B$27)+C128))*100)-(INT(MAX(0,F128-(B128*(1+$B$27)+C128))*100)+0.5))&lt;=MIN(0.0000001,4*2.220446049250313E-16*MAX(1,ABS(F128),ABS(B128*(1+$B$27)+C128))*100),(INT(MAX(0,F128-(B128*(1+$B$27)+C128))*100)+0.5),MAX(0,F128-(B128*(1+$B$27)+C128))*100),0)/100))</f>
      </c>
      <c r="I128" s="0">
        <f>IF($B$22&lt;&gt;"Ready","",IF($B$6+91&gt;=$B$8,"",IF(I127&lt;&gt;"",I127,IF(H128&gt;0,A128+1,""))))</f>
      </c>
    </row>
    <row r="129" ht="15" customHeight="1">
      <c r="A129" s="0">
        <f>IF($B$22&lt;&gt;"Ready","",IF($B$6+92&gt;=$B$8,"",$B$6+92))</f>
      </c>
      <c r="B129" s="3">
        <f>IF($B$22&lt;&gt;"Ready","",IF($B$6+92&gt;=$B$8,"",G128))</f>
      </c>
      <c r="C129" s="3">
        <f>IF($B$22&lt;&gt;"Ready","",IF($B$6+92&gt;=$B$8,"",IF(A129&lt;$B$7,12*($B$10+$B$11),0)))</f>
      </c>
      <c r="D129" s="3">
        <f>IF($B$22&lt;&gt;"Ready","",IF($B$6+92&gt;=$B$8,"",IF(A129&lt;$B$7,0,12*(IF($B$13&gt;0,IF(A129&gt;=$B$14,$B$13,0),0)+IF($B$15&gt;0,IF(A129&gt;=$B$16,$B$15,0),0)))))</f>
      </c>
      <c r="E129" s="3">
        <f>IF($B$22&lt;&gt;"Ready","",IF($B$6+92&gt;=$B$8,"",IF(A129&lt;$B$7,0,12*$B$12)))</f>
      </c>
      <c r="F129" s="3">
        <f>IF($B$22&lt;&gt;"Ready","",IF($B$6+92&gt;=$B$8,"",MAX(0,E129-D129)))</f>
      </c>
      <c r="G129" s="3">
        <f>IF($B$22&lt;&gt;"Ready","",IF($B$6+92&gt;=$B$8,"",MAX(0,B129*(1+$B$27)+C129-F129)))</f>
      </c>
      <c r="H129" s="3">
        <f>IF($B$22&lt;&gt;"Ready","",IF($B$6+92&gt;=$B$8,"",ROUND(IF(ABS((MAX(0,F129-(B129*(1+$B$27)+C129))*100)-(INT(MAX(0,F129-(B129*(1+$B$27)+C129))*100)+0.5))&lt;=MIN(0.0000001,4*2.220446049250313E-16*MAX(1,ABS(F129),ABS(B129*(1+$B$27)+C129))*100),(INT(MAX(0,F129-(B129*(1+$B$27)+C129))*100)+0.5),MAX(0,F129-(B129*(1+$B$27)+C129))*100),0)/100))</f>
      </c>
      <c r="I129" s="0">
        <f>IF($B$22&lt;&gt;"Ready","",IF($B$6+92&gt;=$B$8,"",IF(I128&lt;&gt;"",I128,IF(H129&gt;0,A129+1,""))))</f>
      </c>
    </row>
    <row r="130" ht="15" customHeight="1">
      <c r="A130" s="0">
        <f>IF($B$22&lt;&gt;"Ready","",IF($B$6+93&gt;=$B$8,"",$B$6+93))</f>
      </c>
      <c r="B130" s="3">
        <f>IF($B$22&lt;&gt;"Ready","",IF($B$6+93&gt;=$B$8,"",G129))</f>
      </c>
      <c r="C130" s="3">
        <f>IF($B$22&lt;&gt;"Ready","",IF($B$6+93&gt;=$B$8,"",IF(A130&lt;$B$7,12*($B$10+$B$11),0)))</f>
      </c>
      <c r="D130" s="3">
        <f>IF($B$22&lt;&gt;"Ready","",IF($B$6+93&gt;=$B$8,"",IF(A130&lt;$B$7,0,12*(IF($B$13&gt;0,IF(A130&gt;=$B$14,$B$13,0),0)+IF($B$15&gt;0,IF(A130&gt;=$B$16,$B$15,0),0)))))</f>
      </c>
      <c r="E130" s="3">
        <f>IF($B$22&lt;&gt;"Ready","",IF($B$6+93&gt;=$B$8,"",IF(A130&lt;$B$7,0,12*$B$12)))</f>
      </c>
      <c r="F130" s="3">
        <f>IF($B$22&lt;&gt;"Ready","",IF($B$6+93&gt;=$B$8,"",MAX(0,E130-D130)))</f>
      </c>
      <c r="G130" s="3">
        <f>IF($B$22&lt;&gt;"Ready","",IF($B$6+93&gt;=$B$8,"",MAX(0,B130*(1+$B$27)+C130-F130)))</f>
      </c>
      <c r="H130" s="3">
        <f>IF($B$22&lt;&gt;"Ready","",IF($B$6+93&gt;=$B$8,"",ROUND(IF(ABS((MAX(0,F130-(B130*(1+$B$27)+C130))*100)-(INT(MAX(0,F130-(B130*(1+$B$27)+C130))*100)+0.5))&lt;=MIN(0.0000001,4*2.220446049250313E-16*MAX(1,ABS(F130),ABS(B130*(1+$B$27)+C130))*100),(INT(MAX(0,F130-(B130*(1+$B$27)+C130))*100)+0.5),MAX(0,F130-(B130*(1+$B$27)+C130))*100),0)/100))</f>
      </c>
      <c r="I130" s="0">
        <f>IF($B$22&lt;&gt;"Ready","",IF($B$6+93&gt;=$B$8,"",IF(I129&lt;&gt;"",I129,IF(H130&gt;0,A130+1,""))))</f>
      </c>
    </row>
    <row r="131" ht="15" customHeight="1">
      <c r="A131" s="0">
        <f>IF($B$22&lt;&gt;"Ready","",IF($B$6+94&gt;=$B$8,"",$B$6+94))</f>
      </c>
      <c r="B131" s="3">
        <f>IF($B$22&lt;&gt;"Ready","",IF($B$6+94&gt;=$B$8,"",G130))</f>
      </c>
      <c r="C131" s="3">
        <f>IF($B$22&lt;&gt;"Ready","",IF($B$6+94&gt;=$B$8,"",IF(A131&lt;$B$7,12*($B$10+$B$11),0)))</f>
      </c>
      <c r="D131" s="3">
        <f>IF($B$22&lt;&gt;"Ready","",IF($B$6+94&gt;=$B$8,"",IF(A131&lt;$B$7,0,12*(IF($B$13&gt;0,IF(A131&gt;=$B$14,$B$13,0),0)+IF($B$15&gt;0,IF(A131&gt;=$B$16,$B$15,0),0)))))</f>
      </c>
      <c r="E131" s="3">
        <f>IF($B$22&lt;&gt;"Ready","",IF($B$6+94&gt;=$B$8,"",IF(A131&lt;$B$7,0,12*$B$12)))</f>
      </c>
      <c r="F131" s="3">
        <f>IF($B$22&lt;&gt;"Ready","",IF($B$6+94&gt;=$B$8,"",MAX(0,E131-D131)))</f>
      </c>
      <c r="G131" s="3">
        <f>IF($B$22&lt;&gt;"Ready","",IF($B$6+94&gt;=$B$8,"",MAX(0,B131*(1+$B$27)+C131-F131)))</f>
      </c>
      <c r="H131" s="3">
        <f>IF($B$22&lt;&gt;"Ready","",IF($B$6+94&gt;=$B$8,"",ROUND(IF(ABS((MAX(0,F131-(B131*(1+$B$27)+C131))*100)-(INT(MAX(0,F131-(B131*(1+$B$27)+C131))*100)+0.5))&lt;=MIN(0.0000001,4*2.220446049250313E-16*MAX(1,ABS(F131),ABS(B131*(1+$B$27)+C131))*100),(INT(MAX(0,F131-(B131*(1+$B$27)+C131))*100)+0.5),MAX(0,F131-(B131*(1+$B$27)+C131))*100),0)/100))</f>
      </c>
      <c r="I131" s="0">
        <f>IF($B$22&lt;&gt;"Ready","",IF($B$6+94&gt;=$B$8,"",IF(I130&lt;&gt;"",I130,IF(H131&gt;0,A131+1,""))))</f>
      </c>
    </row>
    <row r="132" ht="15" customHeight="1">
      <c r="A132" s="0">
        <f>IF($B$22&lt;&gt;"Ready","",IF($B$6+95&gt;=$B$8,"",$B$6+95))</f>
      </c>
      <c r="B132" s="3">
        <f>IF($B$22&lt;&gt;"Ready","",IF($B$6+95&gt;=$B$8,"",G131))</f>
      </c>
      <c r="C132" s="3">
        <f>IF($B$22&lt;&gt;"Ready","",IF($B$6+95&gt;=$B$8,"",IF(A132&lt;$B$7,12*($B$10+$B$11),0)))</f>
      </c>
      <c r="D132" s="3">
        <f>IF($B$22&lt;&gt;"Ready","",IF($B$6+95&gt;=$B$8,"",IF(A132&lt;$B$7,0,12*(IF($B$13&gt;0,IF(A132&gt;=$B$14,$B$13,0),0)+IF($B$15&gt;0,IF(A132&gt;=$B$16,$B$15,0),0)))))</f>
      </c>
      <c r="E132" s="3">
        <f>IF($B$22&lt;&gt;"Ready","",IF($B$6+95&gt;=$B$8,"",IF(A132&lt;$B$7,0,12*$B$12)))</f>
      </c>
      <c r="F132" s="3">
        <f>IF($B$22&lt;&gt;"Ready","",IF($B$6+95&gt;=$B$8,"",MAX(0,E132-D132)))</f>
      </c>
      <c r="G132" s="3">
        <f>IF($B$22&lt;&gt;"Ready","",IF($B$6+95&gt;=$B$8,"",MAX(0,B132*(1+$B$27)+C132-F132)))</f>
      </c>
      <c r="H132" s="3">
        <f>IF($B$22&lt;&gt;"Ready","",IF($B$6+95&gt;=$B$8,"",ROUND(IF(ABS((MAX(0,F132-(B132*(1+$B$27)+C132))*100)-(INT(MAX(0,F132-(B132*(1+$B$27)+C132))*100)+0.5))&lt;=MIN(0.0000001,4*2.220446049250313E-16*MAX(1,ABS(F132),ABS(B132*(1+$B$27)+C132))*100),(INT(MAX(0,F132-(B132*(1+$B$27)+C132))*100)+0.5),MAX(0,F132-(B132*(1+$B$27)+C132))*100),0)/100))</f>
      </c>
      <c r="I132" s="0">
        <f>IF($B$22&lt;&gt;"Ready","",IF($B$6+95&gt;=$B$8,"",IF(I131&lt;&gt;"",I131,IF(H132&gt;0,A132+1,""))))</f>
      </c>
    </row>
    <row r="133" ht="15" customHeight="1">
      <c r="A133" s="0">
        <f>IF($B$22&lt;&gt;"Ready","",IF($B$6+96&gt;=$B$8,"",$B$6+96))</f>
      </c>
      <c r="B133" s="3">
        <f>IF($B$22&lt;&gt;"Ready","",IF($B$6+96&gt;=$B$8,"",G132))</f>
      </c>
      <c r="C133" s="3">
        <f>IF($B$22&lt;&gt;"Ready","",IF($B$6+96&gt;=$B$8,"",IF(A133&lt;$B$7,12*($B$10+$B$11),0)))</f>
      </c>
      <c r="D133" s="3">
        <f>IF($B$22&lt;&gt;"Ready","",IF($B$6+96&gt;=$B$8,"",IF(A133&lt;$B$7,0,12*(IF($B$13&gt;0,IF(A133&gt;=$B$14,$B$13,0),0)+IF($B$15&gt;0,IF(A133&gt;=$B$16,$B$15,0),0)))))</f>
      </c>
      <c r="E133" s="3">
        <f>IF($B$22&lt;&gt;"Ready","",IF($B$6+96&gt;=$B$8,"",IF(A133&lt;$B$7,0,12*$B$12)))</f>
      </c>
      <c r="F133" s="3">
        <f>IF($B$22&lt;&gt;"Ready","",IF($B$6+96&gt;=$B$8,"",MAX(0,E133-D133)))</f>
      </c>
      <c r="G133" s="3">
        <f>IF($B$22&lt;&gt;"Ready","",IF($B$6+96&gt;=$B$8,"",MAX(0,B133*(1+$B$27)+C133-F133)))</f>
      </c>
      <c r="H133" s="3">
        <f>IF($B$22&lt;&gt;"Ready","",IF($B$6+96&gt;=$B$8,"",ROUND(IF(ABS((MAX(0,F133-(B133*(1+$B$27)+C133))*100)-(INT(MAX(0,F133-(B133*(1+$B$27)+C133))*100)+0.5))&lt;=MIN(0.0000001,4*2.220446049250313E-16*MAX(1,ABS(F133),ABS(B133*(1+$B$27)+C133))*100),(INT(MAX(0,F133-(B133*(1+$B$27)+C133))*100)+0.5),MAX(0,F133-(B133*(1+$B$27)+C133))*100),0)/100))</f>
      </c>
      <c r="I133" s="0">
        <f>IF($B$22&lt;&gt;"Ready","",IF($B$6+96&gt;=$B$8,"",IF(I132&lt;&gt;"",I132,IF(H133&gt;0,A133+1,""))))</f>
      </c>
    </row>
    <row r="134" ht="15" customHeight="1">
      <c r="A134" s="0">
        <f>IF($B$22&lt;&gt;"Ready","",IF($B$6+97&gt;=$B$8,"",$B$6+97))</f>
      </c>
      <c r="B134" s="3">
        <f>IF($B$22&lt;&gt;"Ready","",IF($B$6+97&gt;=$B$8,"",G133))</f>
      </c>
      <c r="C134" s="3">
        <f>IF($B$22&lt;&gt;"Ready","",IF($B$6+97&gt;=$B$8,"",IF(A134&lt;$B$7,12*($B$10+$B$11),0)))</f>
      </c>
      <c r="D134" s="3">
        <f>IF($B$22&lt;&gt;"Ready","",IF($B$6+97&gt;=$B$8,"",IF(A134&lt;$B$7,0,12*(IF($B$13&gt;0,IF(A134&gt;=$B$14,$B$13,0),0)+IF($B$15&gt;0,IF(A134&gt;=$B$16,$B$15,0),0)))))</f>
      </c>
      <c r="E134" s="3">
        <f>IF($B$22&lt;&gt;"Ready","",IF($B$6+97&gt;=$B$8,"",IF(A134&lt;$B$7,0,12*$B$12)))</f>
      </c>
      <c r="F134" s="3">
        <f>IF($B$22&lt;&gt;"Ready","",IF($B$6+97&gt;=$B$8,"",MAX(0,E134-D134)))</f>
      </c>
      <c r="G134" s="3">
        <f>IF($B$22&lt;&gt;"Ready","",IF($B$6+97&gt;=$B$8,"",MAX(0,B134*(1+$B$27)+C134-F134)))</f>
      </c>
      <c r="H134" s="3">
        <f>IF($B$22&lt;&gt;"Ready","",IF($B$6+97&gt;=$B$8,"",ROUND(IF(ABS((MAX(0,F134-(B134*(1+$B$27)+C134))*100)-(INT(MAX(0,F134-(B134*(1+$B$27)+C134))*100)+0.5))&lt;=MIN(0.0000001,4*2.220446049250313E-16*MAX(1,ABS(F134),ABS(B134*(1+$B$27)+C134))*100),(INT(MAX(0,F134-(B134*(1+$B$27)+C134))*100)+0.5),MAX(0,F134-(B134*(1+$B$27)+C134))*100),0)/100))</f>
      </c>
      <c r="I134" s="0">
        <f>IF($B$22&lt;&gt;"Ready","",IF($B$6+97&gt;=$B$8,"",IF(I133&lt;&gt;"",I133,IF(H134&gt;0,A134+1,""))))</f>
      </c>
    </row>
    <row r="135" ht="15" customHeight="1">
      <c r="A135" s="0">
        <f>IF($B$22&lt;&gt;"Ready","",IF($B$6+98&gt;=$B$8,"",$B$6+98))</f>
      </c>
      <c r="B135" s="3">
        <f>IF($B$22&lt;&gt;"Ready","",IF($B$6+98&gt;=$B$8,"",G134))</f>
      </c>
      <c r="C135" s="3">
        <f>IF($B$22&lt;&gt;"Ready","",IF($B$6+98&gt;=$B$8,"",IF(A135&lt;$B$7,12*($B$10+$B$11),0)))</f>
      </c>
      <c r="D135" s="3">
        <f>IF($B$22&lt;&gt;"Ready","",IF($B$6+98&gt;=$B$8,"",IF(A135&lt;$B$7,0,12*(IF($B$13&gt;0,IF(A135&gt;=$B$14,$B$13,0),0)+IF($B$15&gt;0,IF(A135&gt;=$B$16,$B$15,0),0)))))</f>
      </c>
      <c r="E135" s="3">
        <f>IF($B$22&lt;&gt;"Ready","",IF($B$6+98&gt;=$B$8,"",IF(A135&lt;$B$7,0,12*$B$12)))</f>
      </c>
      <c r="F135" s="3">
        <f>IF($B$22&lt;&gt;"Ready","",IF($B$6+98&gt;=$B$8,"",MAX(0,E135-D135)))</f>
      </c>
      <c r="G135" s="3">
        <f>IF($B$22&lt;&gt;"Ready","",IF($B$6+98&gt;=$B$8,"",MAX(0,B135*(1+$B$27)+C135-F135)))</f>
      </c>
      <c r="H135" s="3">
        <f>IF($B$22&lt;&gt;"Ready","",IF($B$6+98&gt;=$B$8,"",ROUND(IF(ABS((MAX(0,F135-(B135*(1+$B$27)+C135))*100)-(INT(MAX(0,F135-(B135*(1+$B$27)+C135))*100)+0.5))&lt;=MIN(0.0000001,4*2.220446049250313E-16*MAX(1,ABS(F135),ABS(B135*(1+$B$27)+C135))*100),(INT(MAX(0,F135-(B135*(1+$B$27)+C135))*100)+0.5),MAX(0,F135-(B135*(1+$B$27)+C135))*100),0)/100))</f>
      </c>
      <c r="I135" s="0">
        <f>IF($B$22&lt;&gt;"Ready","",IF($B$6+98&gt;=$B$8,"",IF(I134&lt;&gt;"",I134,IF(H135&gt;0,A135+1,""))))</f>
      </c>
    </row>
    <row r="136" ht="15" customHeight="1">
      <c r="A136" s="0">
        <f>IF($B$22&lt;&gt;"Ready","",IF($B$6+99&gt;=$B$8,"",$B$6+99))</f>
      </c>
      <c r="B136" s="3">
        <f>IF($B$22&lt;&gt;"Ready","",IF($B$6+99&gt;=$B$8,"",G135))</f>
      </c>
      <c r="C136" s="3">
        <f>IF($B$22&lt;&gt;"Ready","",IF($B$6+99&gt;=$B$8,"",IF(A136&lt;$B$7,12*($B$10+$B$11),0)))</f>
      </c>
      <c r="D136" s="3">
        <f>IF($B$22&lt;&gt;"Ready","",IF($B$6+99&gt;=$B$8,"",IF(A136&lt;$B$7,0,12*(IF($B$13&gt;0,IF(A136&gt;=$B$14,$B$13,0),0)+IF($B$15&gt;0,IF(A136&gt;=$B$16,$B$15,0),0)))))</f>
      </c>
      <c r="E136" s="3">
        <f>IF($B$22&lt;&gt;"Ready","",IF($B$6+99&gt;=$B$8,"",IF(A136&lt;$B$7,0,12*$B$12)))</f>
      </c>
      <c r="F136" s="3">
        <f>IF($B$22&lt;&gt;"Ready","",IF($B$6+99&gt;=$B$8,"",MAX(0,E136-D136)))</f>
      </c>
      <c r="G136" s="3">
        <f>IF($B$22&lt;&gt;"Ready","",IF($B$6+99&gt;=$B$8,"",MAX(0,B136*(1+$B$27)+C136-F136)))</f>
      </c>
      <c r="H136" s="3">
        <f>IF($B$22&lt;&gt;"Ready","",IF($B$6+99&gt;=$B$8,"",ROUND(IF(ABS((MAX(0,F136-(B136*(1+$B$27)+C136))*100)-(INT(MAX(0,F136-(B136*(1+$B$27)+C136))*100)+0.5))&lt;=MIN(0.0000001,4*2.220446049250313E-16*MAX(1,ABS(F136),ABS(B136*(1+$B$27)+C136))*100),(INT(MAX(0,F136-(B136*(1+$B$27)+C136))*100)+0.5),MAX(0,F136-(B136*(1+$B$27)+C136))*100),0)/100))</f>
      </c>
      <c r="I136" s="0">
        <f>IF($B$22&lt;&gt;"Ready","",IF($B$6+99&gt;=$B$8,"",IF(I135&lt;&gt;"",I135,IF(H136&gt;0,A136+1,""))))</f>
      </c>
    </row>
    <row r="137" ht="15" customHeight="1">
      <c r="A137" s="0">
        <f>IF($B$22&lt;&gt;"Ready","",IF($B$6+100&gt;=$B$8,"",$B$6+100))</f>
      </c>
      <c r="B137" s="3">
        <f>IF($B$22&lt;&gt;"Ready","",IF($B$6+100&gt;=$B$8,"",G136))</f>
      </c>
      <c r="C137" s="3">
        <f>IF($B$22&lt;&gt;"Ready","",IF($B$6+100&gt;=$B$8,"",IF(A137&lt;$B$7,12*($B$10+$B$11),0)))</f>
      </c>
      <c r="D137" s="3">
        <f>IF($B$22&lt;&gt;"Ready","",IF($B$6+100&gt;=$B$8,"",IF(A137&lt;$B$7,0,12*(IF($B$13&gt;0,IF(A137&gt;=$B$14,$B$13,0),0)+IF($B$15&gt;0,IF(A137&gt;=$B$16,$B$15,0),0)))))</f>
      </c>
      <c r="E137" s="3">
        <f>IF($B$22&lt;&gt;"Ready","",IF($B$6+100&gt;=$B$8,"",IF(A137&lt;$B$7,0,12*$B$12)))</f>
      </c>
      <c r="F137" s="3">
        <f>IF($B$22&lt;&gt;"Ready","",IF($B$6+100&gt;=$B$8,"",MAX(0,E137-D137)))</f>
      </c>
      <c r="G137" s="3">
        <f>IF($B$22&lt;&gt;"Ready","",IF($B$6+100&gt;=$B$8,"",MAX(0,B137*(1+$B$27)+C137-F137)))</f>
      </c>
      <c r="H137" s="3">
        <f>IF($B$22&lt;&gt;"Ready","",IF($B$6+100&gt;=$B$8,"",ROUND(IF(ABS((MAX(0,F137-(B137*(1+$B$27)+C137))*100)-(INT(MAX(0,F137-(B137*(1+$B$27)+C137))*100)+0.5))&lt;=MIN(0.0000001,4*2.220446049250313E-16*MAX(1,ABS(F137),ABS(B137*(1+$B$27)+C137))*100),(INT(MAX(0,F137-(B137*(1+$B$27)+C137))*100)+0.5),MAX(0,F137-(B137*(1+$B$27)+C137))*100),0)/100))</f>
      </c>
      <c r="I137" s="0">
        <f>IF($B$22&lt;&gt;"Ready","",IF($B$6+100&gt;=$B$8,"",IF(I136&lt;&gt;"",I136,IF(H137&gt;0,A137+1,""))))</f>
      </c>
    </row>
    <row r="138" ht="15" customHeight="1">
      <c r="A138" s="0">
        <f>IF($B$22&lt;&gt;"Ready","",IF($B$6+101&gt;=$B$8,"",$B$6+101))</f>
      </c>
      <c r="B138" s="3">
        <f>IF($B$22&lt;&gt;"Ready","",IF($B$6+101&gt;=$B$8,"",G137))</f>
      </c>
      <c r="C138" s="3">
        <f>IF($B$22&lt;&gt;"Ready","",IF($B$6+101&gt;=$B$8,"",IF(A138&lt;$B$7,12*($B$10+$B$11),0)))</f>
      </c>
      <c r="D138" s="3">
        <f>IF($B$22&lt;&gt;"Ready","",IF($B$6+101&gt;=$B$8,"",IF(A138&lt;$B$7,0,12*(IF($B$13&gt;0,IF(A138&gt;=$B$14,$B$13,0),0)+IF($B$15&gt;0,IF(A138&gt;=$B$16,$B$15,0),0)))))</f>
      </c>
      <c r="E138" s="3">
        <f>IF($B$22&lt;&gt;"Ready","",IF($B$6+101&gt;=$B$8,"",IF(A138&lt;$B$7,0,12*$B$12)))</f>
      </c>
      <c r="F138" s="3">
        <f>IF($B$22&lt;&gt;"Ready","",IF($B$6+101&gt;=$B$8,"",MAX(0,E138-D138)))</f>
      </c>
      <c r="G138" s="3">
        <f>IF($B$22&lt;&gt;"Ready","",IF($B$6+101&gt;=$B$8,"",MAX(0,B138*(1+$B$27)+C138-F138)))</f>
      </c>
      <c r="H138" s="3">
        <f>IF($B$22&lt;&gt;"Ready","",IF($B$6+101&gt;=$B$8,"",ROUND(IF(ABS((MAX(0,F138-(B138*(1+$B$27)+C138))*100)-(INT(MAX(0,F138-(B138*(1+$B$27)+C138))*100)+0.5))&lt;=MIN(0.0000001,4*2.220446049250313E-16*MAX(1,ABS(F138),ABS(B138*(1+$B$27)+C138))*100),(INT(MAX(0,F138-(B138*(1+$B$27)+C138))*100)+0.5),MAX(0,F138-(B138*(1+$B$27)+C138))*100),0)/100))</f>
      </c>
      <c r="I138" s="0">
        <f>IF($B$22&lt;&gt;"Ready","",IF($B$6+101&gt;=$B$8,"",IF(I137&lt;&gt;"",I137,IF(H138&gt;0,A138+1,""))))</f>
      </c>
    </row>
    <row r="139" ht="15" customHeight="1">
      <c r="A139" s="0">
        <f>IF($B$22&lt;&gt;"Ready","",IF($B$6+102&gt;=$B$8,"",$B$6+102))</f>
      </c>
      <c r="B139" s="3">
        <f>IF($B$22&lt;&gt;"Ready","",IF($B$6+102&gt;=$B$8,"",G138))</f>
      </c>
      <c r="C139" s="3">
        <f>IF($B$22&lt;&gt;"Ready","",IF($B$6+102&gt;=$B$8,"",IF(A139&lt;$B$7,12*($B$10+$B$11),0)))</f>
      </c>
      <c r="D139" s="3">
        <f>IF($B$22&lt;&gt;"Ready","",IF($B$6+102&gt;=$B$8,"",IF(A139&lt;$B$7,0,12*(IF($B$13&gt;0,IF(A139&gt;=$B$14,$B$13,0),0)+IF($B$15&gt;0,IF(A139&gt;=$B$16,$B$15,0),0)))))</f>
      </c>
      <c r="E139" s="3">
        <f>IF($B$22&lt;&gt;"Ready","",IF($B$6+102&gt;=$B$8,"",IF(A139&lt;$B$7,0,12*$B$12)))</f>
      </c>
      <c r="F139" s="3">
        <f>IF($B$22&lt;&gt;"Ready","",IF($B$6+102&gt;=$B$8,"",MAX(0,E139-D139)))</f>
      </c>
      <c r="G139" s="3">
        <f>IF($B$22&lt;&gt;"Ready","",IF($B$6+102&gt;=$B$8,"",MAX(0,B139*(1+$B$27)+C139-F139)))</f>
      </c>
      <c r="H139" s="3">
        <f>IF($B$22&lt;&gt;"Ready","",IF($B$6+102&gt;=$B$8,"",ROUND(IF(ABS((MAX(0,F139-(B139*(1+$B$27)+C139))*100)-(INT(MAX(0,F139-(B139*(1+$B$27)+C139))*100)+0.5))&lt;=MIN(0.0000001,4*2.220446049250313E-16*MAX(1,ABS(F139),ABS(B139*(1+$B$27)+C139))*100),(INT(MAX(0,F139-(B139*(1+$B$27)+C139))*100)+0.5),MAX(0,F139-(B139*(1+$B$27)+C139))*100),0)/100))</f>
      </c>
      <c r="I139" s="0">
        <f>IF($B$22&lt;&gt;"Ready","",IF($B$6+102&gt;=$B$8,"",IF(I138&lt;&gt;"",I138,IF(H139&gt;0,A139+1,""))))</f>
      </c>
    </row>
    <row r="140" ht="15" customHeight="1">
      <c r="A140" s="0">
        <f>IF($B$22&lt;&gt;"Ready","",IF($B$6+103&gt;=$B$8,"",$B$6+103))</f>
      </c>
      <c r="B140" s="3">
        <f>IF($B$22&lt;&gt;"Ready","",IF($B$6+103&gt;=$B$8,"",G139))</f>
      </c>
      <c r="C140" s="3">
        <f>IF($B$22&lt;&gt;"Ready","",IF($B$6+103&gt;=$B$8,"",IF(A140&lt;$B$7,12*($B$10+$B$11),0)))</f>
      </c>
      <c r="D140" s="3">
        <f>IF($B$22&lt;&gt;"Ready","",IF($B$6+103&gt;=$B$8,"",IF(A140&lt;$B$7,0,12*(IF($B$13&gt;0,IF(A140&gt;=$B$14,$B$13,0),0)+IF($B$15&gt;0,IF(A140&gt;=$B$16,$B$15,0),0)))))</f>
      </c>
      <c r="E140" s="3">
        <f>IF($B$22&lt;&gt;"Ready","",IF($B$6+103&gt;=$B$8,"",IF(A140&lt;$B$7,0,12*$B$12)))</f>
      </c>
      <c r="F140" s="3">
        <f>IF($B$22&lt;&gt;"Ready","",IF($B$6+103&gt;=$B$8,"",MAX(0,E140-D140)))</f>
      </c>
      <c r="G140" s="3">
        <f>IF($B$22&lt;&gt;"Ready","",IF($B$6+103&gt;=$B$8,"",MAX(0,B140*(1+$B$27)+C140-F140)))</f>
      </c>
      <c r="H140" s="3">
        <f>IF($B$22&lt;&gt;"Ready","",IF($B$6+103&gt;=$B$8,"",ROUND(IF(ABS((MAX(0,F140-(B140*(1+$B$27)+C140))*100)-(INT(MAX(0,F140-(B140*(1+$B$27)+C140))*100)+0.5))&lt;=MIN(0.0000001,4*2.220446049250313E-16*MAX(1,ABS(F140),ABS(B140*(1+$B$27)+C140))*100),(INT(MAX(0,F140-(B140*(1+$B$27)+C140))*100)+0.5),MAX(0,F140-(B140*(1+$B$27)+C140))*100),0)/100))</f>
      </c>
      <c r="I140" s="0">
        <f>IF($B$22&lt;&gt;"Ready","",IF($B$6+103&gt;=$B$8,"",IF(I139&lt;&gt;"",I139,IF(H140&gt;0,A140+1,""))))</f>
      </c>
    </row>
    <row r="141" ht="15" customHeight="1">
      <c r="A141" s="0">
        <f>IF($B$22&lt;&gt;"Ready","",IF($B$6+104&gt;=$B$8,"",$B$6+104))</f>
      </c>
      <c r="B141" s="3">
        <f>IF($B$22&lt;&gt;"Ready","",IF($B$6+104&gt;=$B$8,"",G140))</f>
      </c>
      <c r="C141" s="3">
        <f>IF($B$22&lt;&gt;"Ready","",IF($B$6+104&gt;=$B$8,"",IF(A141&lt;$B$7,12*($B$10+$B$11),0)))</f>
      </c>
      <c r="D141" s="3">
        <f>IF($B$22&lt;&gt;"Ready","",IF($B$6+104&gt;=$B$8,"",IF(A141&lt;$B$7,0,12*(IF($B$13&gt;0,IF(A141&gt;=$B$14,$B$13,0),0)+IF($B$15&gt;0,IF(A141&gt;=$B$16,$B$15,0),0)))))</f>
      </c>
      <c r="E141" s="3">
        <f>IF($B$22&lt;&gt;"Ready","",IF($B$6+104&gt;=$B$8,"",IF(A141&lt;$B$7,0,12*$B$12)))</f>
      </c>
      <c r="F141" s="3">
        <f>IF($B$22&lt;&gt;"Ready","",IF($B$6+104&gt;=$B$8,"",MAX(0,E141-D141)))</f>
      </c>
      <c r="G141" s="3">
        <f>IF($B$22&lt;&gt;"Ready","",IF($B$6+104&gt;=$B$8,"",MAX(0,B141*(1+$B$27)+C141-F141)))</f>
      </c>
      <c r="H141" s="3">
        <f>IF($B$22&lt;&gt;"Ready","",IF($B$6+104&gt;=$B$8,"",ROUND(IF(ABS((MAX(0,F141-(B141*(1+$B$27)+C141))*100)-(INT(MAX(0,F141-(B141*(1+$B$27)+C141))*100)+0.5))&lt;=MIN(0.0000001,4*2.220446049250313E-16*MAX(1,ABS(F141),ABS(B141*(1+$B$27)+C141))*100),(INT(MAX(0,F141-(B141*(1+$B$27)+C141))*100)+0.5),MAX(0,F141-(B141*(1+$B$27)+C141))*100),0)/100))</f>
      </c>
      <c r="I141" s="0">
        <f>IF($B$22&lt;&gt;"Ready","",IF($B$6+104&gt;=$B$8,"",IF(I140&lt;&gt;"",I140,IF(H141&gt;0,A141+1,""))))</f>
      </c>
    </row>
    <row r="142" ht="15" customHeight="1">
      <c r="A142" s="0">
        <f>IF($B$22&lt;&gt;"Ready","",IF($B$6+105&gt;=$B$8,"",$B$6+105))</f>
      </c>
      <c r="B142" s="3">
        <f>IF($B$22&lt;&gt;"Ready","",IF($B$6+105&gt;=$B$8,"",G141))</f>
      </c>
      <c r="C142" s="3">
        <f>IF($B$22&lt;&gt;"Ready","",IF($B$6+105&gt;=$B$8,"",IF(A142&lt;$B$7,12*($B$10+$B$11),0)))</f>
      </c>
      <c r="D142" s="3">
        <f>IF($B$22&lt;&gt;"Ready","",IF($B$6+105&gt;=$B$8,"",IF(A142&lt;$B$7,0,12*(IF($B$13&gt;0,IF(A142&gt;=$B$14,$B$13,0),0)+IF($B$15&gt;0,IF(A142&gt;=$B$16,$B$15,0),0)))))</f>
      </c>
      <c r="E142" s="3">
        <f>IF($B$22&lt;&gt;"Ready","",IF($B$6+105&gt;=$B$8,"",IF(A142&lt;$B$7,0,12*$B$12)))</f>
      </c>
      <c r="F142" s="3">
        <f>IF($B$22&lt;&gt;"Ready","",IF($B$6+105&gt;=$B$8,"",MAX(0,E142-D142)))</f>
      </c>
      <c r="G142" s="3">
        <f>IF($B$22&lt;&gt;"Ready","",IF($B$6+105&gt;=$B$8,"",MAX(0,B142*(1+$B$27)+C142-F142)))</f>
      </c>
      <c r="H142" s="3">
        <f>IF($B$22&lt;&gt;"Ready","",IF($B$6+105&gt;=$B$8,"",ROUND(IF(ABS((MAX(0,F142-(B142*(1+$B$27)+C142))*100)-(INT(MAX(0,F142-(B142*(1+$B$27)+C142))*100)+0.5))&lt;=MIN(0.0000001,4*2.220446049250313E-16*MAX(1,ABS(F142),ABS(B142*(1+$B$27)+C142))*100),(INT(MAX(0,F142-(B142*(1+$B$27)+C142))*100)+0.5),MAX(0,F142-(B142*(1+$B$27)+C142))*100),0)/100))</f>
      </c>
      <c r="I142" s="0">
        <f>IF($B$22&lt;&gt;"Ready","",IF($B$6+105&gt;=$B$8,"",IF(I141&lt;&gt;"",I141,IF(H142&gt;0,A142+1,""))))</f>
      </c>
    </row>
    <row r="143" ht="15" customHeight="1">
      <c r="A143" s="0">
        <f>IF($B$22&lt;&gt;"Ready","",IF($B$6+106&gt;=$B$8,"",$B$6+106))</f>
      </c>
      <c r="B143" s="3">
        <f>IF($B$22&lt;&gt;"Ready","",IF($B$6+106&gt;=$B$8,"",G142))</f>
      </c>
      <c r="C143" s="3">
        <f>IF($B$22&lt;&gt;"Ready","",IF($B$6+106&gt;=$B$8,"",IF(A143&lt;$B$7,12*($B$10+$B$11),0)))</f>
      </c>
      <c r="D143" s="3">
        <f>IF($B$22&lt;&gt;"Ready","",IF($B$6+106&gt;=$B$8,"",IF(A143&lt;$B$7,0,12*(IF($B$13&gt;0,IF(A143&gt;=$B$14,$B$13,0),0)+IF($B$15&gt;0,IF(A143&gt;=$B$16,$B$15,0),0)))))</f>
      </c>
      <c r="E143" s="3">
        <f>IF($B$22&lt;&gt;"Ready","",IF($B$6+106&gt;=$B$8,"",IF(A143&lt;$B$7,0,12*$B$12)))</f>
      </c>
      <c r="F143" s="3">
        <f>IF($B$22&lt;&gt;"Ready","",IF($B$6+106&gt;=$B$8,"",MAX(0,E143-D143)))</f>
      </c>
      <c r="G143" s="3">
        <f>IF($B$22&lt;&gt;"Ready","",IF($B$6+106&gt;=$B$8,"",MAX(0,B143*(1+$B$27)+C143-F143)))</f>
      </c>
      <c r="H143" s="3">
        <f>IF($B$22&lt;&gt;"Ready","",IF($B$6+106&gt;=$B$8,"",ROUND(IF(ABS((MAX(0,F143-(B143*(1+$B$27)+C143))*100)-(INT(MAX(0,F143-(B143*(1+$B$27)+C143))*100)+0.5))&lt;=MIN(0.0000001,4*2.220446049250313E-16*MAX(1,ABS(F143),ABS(B143*(1+$B$27)+C143))*100),(INT(MAX(0,F143-(B143*(1+$B$27)+C143))*100)+0.5),MAX(0,F143-(B143*(1+$B$27)+C143))*100),0)/100))</f>
      </c>
      <c r="I143" s="0">
        <f>IF($B$22&lt;&gt;"Ready","",IF($B$6+106&gt;=$B$8,"",IF(I142&lt;&gt;"",I142,IF(H143&gt;0,A143+1,""))))</f>
      </c>
    </row>
    <row r="144" ht="15" customHeight="1">
      <c r="A144" s="0">
        <f>IF($B$22&lt;&gt;"Ready","",IF($B$6+107&gt;=$B$8,"",$B$6+107))</f>
      </c>
      <c r="B144" s="3">
        <f>IF($B$22&lt;&gt;"Ready","",IF($B$6+107&gt;=$B$8,"",G143))</f>
      </c>
      <c r="C144" s="3">
        <f>IF($B$22&lt;&gt;"Ready","",IF($B$6+107&gt;=$B$8,"",IF(A144&lt;$B$7,12*($B$10+$B$11),0)))</f>
      </c>
      <c r="D144" s="3">
        <f>IF($B$22&lt;&gt;"Ready","",IF($B$6+107&gt;=$B$8,"",IF(A144&lt;$B$7,0,12*(IF($B$13&gt;0,IF(A144&gt;=$B$14,$B$13,0),0)+IF($B$15&gt;0,IF(A144&gt;=$B$16,$B$15,0),0)))))</f>
      </c>
      <c r="E144" s="3">
        <f>IF($B$22&lt;&gt;"Ready","",IF($B$6+107&gt;=$B$8,"",IF(A144&lt;$B$7,0,12*$B$12)))</f>
      </c>
      <c r="F144" s="3">
        <f>IF($B$22&lt;&gt;"Ready","",IF($B$6+107&gt;=$B$8,"",MAX(0,E144-D144)))</f>
      </c>
      <c r="G144" s="3">
        <f>IF($B$22&lt;&gt;"Ready","",IF($B$6+107&gt;=$B$8,"",MAX(0,B144*(1+$B$27)+C144-F144)))</f>
      </c>
      <c r="H144" s="3">
        <f>IF($B$22&lt;&gt;"Ready","",IF($B$6+107&gt;=$B$8,"",ROUND(IF(ABS((MAX(0,F144-(B144*(1+$B$27)+C144))*100)-(INT(MAX(0,F144-(B144*(1+$B$27)+C144))*100)+0.5))&lt;=MIN(0.0000001,4*2.220446049250313E-16*MAX(1,ABS(F144),ABS(B144*(1+$B$27)+C144))*100),(INT(MAX(0,F144-(B144*(1+$B$27)+C144))*100)+0.5),MAX(0,F144-(B144*(1+$B$27)+C144))*100),0)/100))</f>
      </c>
      <c r="I144" s="0">
        <f>IF($B$22&lt;&gt;"Ready","",IF($B$6+107&gt;=$B$8,"",IF(I143&lt;&gt;"",I143,IF(H144&gt;0,A144+1,""))))</f>
      </c>
    </row>
    <row r="145" ht="15" customHeight="1">
      <c r="A145" s="0">
        <f>IF($B$22&lt;&gt;"Ready","",IF($B$6+108&gt;=$B$8,"",$B$6+108))</f>
      </c>
      <c r="B145" s="3">
        <f>IF($B$22&lt;&gt;"Ready","",IF($B$6+108&gt;=$B$8,"",G144))</f>
      </c>
      <c r="C145" s="3">
        <f>IF($B$22&lt;&gt;"Ready","",IF($B$6+108&gt;=$B$8,"",IF(A145&lt;$B$7,12*($B$10+$B$11),0)))</f>
      </c>
      <c r="D145" s="3">
        <f>IF($B$22&lt;&gt;"Ready","",IF($B$6+108&gt;=$B$8,"",IF(A145&lt;$B$7,0,12*(IF($B$13&gt;0,IF(A145&gt;=$B$14,$B$13,0),0)+IF($B$15&gt;0,IF(A145&gt;=$B$16,$B$15,0),0)))))</f>
      </c>
      <c r="E145" s="3">
        <f>IF($B$22&lt;&gt;"Ready","",IF($B$6+108&gt;=$B$8,"",IF(A145&lt;$B$7,0,12*$B$12)))</f>
      </c>
      <c r="F145" s="3">
        <f>IF($B$22&lt;&gt;"Ready","",IF($B$6+108&gt;=$B$8,"",MAX(0,E145-D145)))</f>
      </c>
      <c r="G145" s="3">
        <f>IF($B$22&lt;&gt;"Ready","",IF($B$6+108&gt;=$B$8,"",MAX(0,B145*(1+$B$27)+C145-F145)))</f>
      </c>
      <c r="H145" s="3">
        <f>IF($B$22&lt;&gt;"Ready","",IF($B$6+108&gt;=$B$8,"",ROUND(IF(ABS((MAX(0,F145-(B145*(1+$B$27)+C145))*100)-(INT(MAX(0,F145-(B145*(1+$B$27)+C145))*100)+0.5))&lt;=MIN(0.0000001,4*2.220446049250313E-16*MAX(1,ABS(F145),ABS(B145*(1+$B$27)+C145))*100),(INT(MAX(0,F145-(B145*(1+$B$27)+C145))*100)+0.5),MAX(0,F145-(B145*(1+$B$27)+C145))*100),0)/100))</f>
      </c>
      <c r="I145" s="0">
        <f>IF($B$22&lt;&gt;"Ready","",IF($B$6+108&gt;=$B$8,"",IF(I144&lt;&gt;"",I144,IF(H145&gt;0,A145+1,""))))</f>
      </c>
    </row>
    <row r="146" ht="15" customHeight="1">
      <c r="A146" s="0">
        <f>IF($B$22&lt;&gt;"Ready","",IF($B$6+109&gt;=$B$8,"",$B$6+109))</f>
      </c>
      <c r="B146" s="3">
        <f>IF($B$22&lt;&gt;"Ready","",IF($B$6+109&gt;=$B$8,"",G145))</f>
      </c>
      <c r="C146" s="3">
        <f>IF($B$22&lt;&gt;"Ready","",IF($B$6+109&gt;=$B$8,"",IF(A146&lt;$B$7,12*($B$10+$B$11),0)))</f>
      </c>
      <c r="D146" s="3">
        <f>IF($B$22&lt;&gt;"Ready","",IF($B$6+109&gt;=$B$8,"",IF(A146&lt;$B$7,0,12*(IF($B$13&gt;0,IF(A146&gt;=$B$14,$B$13,0),0)+IF($B$15&gt;0,IF(A146&gt;=$B$16,$B$15,0),0)))))</f>
      </c>
      <c r="E146" s="3">
        <f>IF($B$22&lt;&gt;"Ready","",IF($B$6+109&gt;=$B$8,"",IF(A146&lt;$B$7,0,12*$B$12)))</f>
      </c>
      <c r="F146" s="3">
        <f>IF($B$22&lt;&gt;"Ready","",IF($B$6+109&gt;=$B$8,"",MAX(0,E146-D146)))</f>
      </c>
      <c r="G146" s="3">
        <f>IF($B$22&lt;&gt;"Ready","",IF($B$6+109&gt;=$B$8,"",MAX(0,B146*(1+$B$27)+C146-F146)))</f>
      </c>
      <c r="H146" s="3">
        <f>IF($B$22&lt;&gt;"Ready","",IF($B$6+109&gt;=$B$8,"",ROUND(IF(ABS((MAX(0,F146-(B146*(1+$B$27)+C146))*100)-(INT(MAX(0,F146-(B146*(1+$B$27)+C146))*100)+0.5))&lt;=MIN(0.0000001,4*2.220446049250313E-16*MAX(1,ABS(F146),ABS(B146*(1+$B$27)+C146))*100),(INT(MAX(0,F146-(B146*(1+$B$27)+C146))*100)+0.5),MAX(0,F146-(B146*(1+$B$27)+C146))*100),0)/100))</f>
      </c>
      <c r="I146" s="0">
        <f>IF($B$22&lt;&gt;"Ready","",IF($B$6+109&gt;=$B$8,"",IF(I145&lt;&gt;"",I145,IF(H146&gt;0,A146+1,""))))</f>
      </c>
    </row>
    <row r="147" ht="15" customHeight="1"/>
    <row r="148" ht="26" customHeight="1">
      <c r="A148" s="1" t="inlineStr">
        <is>
          <t xml:space="preserve">Base annual timeline — all amounts in today's USD</t>
        </is>
      </c>
    </row>
    <row r="149" ht="42" customHeight="1">
      <c r="A149" s="2" t="inlineStr">
        <is>
          <t xml:space="preserve">Age at start</t>
        </is>
      </c>
      <c r="B149" s="2" t="inlineStr">
        <is>
          <t xml:space="preserve">Opening investments</t>
        </is>
      </c>
      <c r="C149" s="2" t="inlineStr">
        <is>
          <t xml:space="preserve">Contribution</t>
        </is>
      </c>
      <c r="D149" s="2" t="inlineStr">
        <is>
          <t xml:space="preserve">Pension + benefits</t>
        </is>
      </c>
      <c r="E149" s="2" t="inlineStr">
        <is>
          <t xml:space="preserve">Retirement spending</t>
        </is>
      </c>
      <c r="F149" s="2" t="inlineStr">
        <is>
          <t xml:space="preserve">Portfolio draw</t>
        </is>
      </c>
      <c r="G149" s="2" t="inlineStr">
        <is>
          <t xml:space="preserve">Closing investments</t>
        </is>
      </c>
      <c r="H149" s="2" t="inlineStr">
        <is>
          <t xml:space="preserve">Unfunded spending</t>
        </is>
      </c>
      <c r="I149" s="2" t="inlineStr">
        <is>
          <t xml:space="preserve">First gap age so far</t>
        </is>
      </c>
    </row>
    <row r="150" ht="15" customHeight="1">
      <c r="A150" s="0">
        <f>IF($B$22&lt;&gt;"Ready","",IF($B$6+0&gt;=$B$8,"",$B$6+0))</f>
      </c>
      <c r="B150" s="3">
        <f>IF($B$22&lt;&gt;"Ready","",IF($B$6+0&gt;=$B$8,"",$B$9))</f>
      </c>
      <c r="C150" s="3">
        <f>IF($B$22&lt;&gt;"Ready","",IF($B$6+0&gt;=$B$8,"",IF(A150&lt;$B$7,12*($B$10+$B$11),0)))</f>
      </c>
      <c r="D150" s="3">
        <f>IF($B$22&lt;&gt;"Ready","",IF($B$6+0&gt;=$B$8,"",IF(A150&lt;$B$7,0,12*(IF($B$13&gt;0,IF(A150&gt;=$B$14,$B$13,0),0)+IF($B$15&gt;0,IF(A150&gt;=$B$16,$B$15,0),0)))))</f>
      </c>
      <c r="E150" s="3">
        <f>IF($B$22&lt;&gt;"Ready","",IF($B$6+0&gt;=$B$8,"",IF(A150&lt;$B$7,0,12*$B$12)))</f>
      </c>
      <c r="F150" s="3">
        <f>IF($B$22&lt;&gt;"Ready","",IF($B$6+0&gt;=$B$8,"",MAX(0,E150-D150)))</f>
      </c>
      <c r="G150" s="3">
        <f>IF($B$22&lt;&gt;"Ready","",IF($B$6+0&gt;=$B$8,"",MAX(0,B150*(1+$B$28)+C150-F150)))</f>
      </c>
      <c r="H150" s="3">
        <f>IF($B$22&lt;&gt;"Ready","",IF($B$6+0&gt;=$B$8,"",ROUND(IF(ABS((MAX(0,F150-(B150*(1+$B$28)+C150))*100)-(INT(MAX(0,F150-(B150*(1+$B$28)+C150))*100)+0.5))&lt;=MIN(0.0000001,4*2.220446049250313E-16*MAX(1,ABS(F150),ABS(B150*(1+$B$28)+C150))*100),(INT(MAX(0,F150-(B150*(1+$B$28)+C150))*100)+0.5),MAX(0,F150-(B150*(1+$B$28)+C150))*100),0)/100))</f>
      </c>
      <c r="I150" s="0">
        <f>IF($B$22&lt;&gt;"Ready","",IF($B$6+0&gt;=$B$8,"",IF(H150&gt;0,A150+1,"")))</f>
      </c>
    </row>
    <row r="151" ht="15" customHeight="1">
      <c r="A151" s="0">
        <f>IF($B$22&lt;&gt;"Ready","",IF($B$6+1&gt;=$B$8,"",$B$6+1))</f>
      </c>
      <c r="B151" s="3">
        <f>IF($B$22&lt;&gt;"Ready","",IF($B$6+1&gt;=$B$8,"",G150))</f>
      </c>
      <c r="C151" s="3">
        <f>IF($B$22&lt;&gt;"Ready","",IF($B$6+1&gt;=$B$8,"",IF(A151&lt;$B$7,12*($B$10+$B$11),0)))</f>
      </c>
      <c r="D151" s="3">
        <f>IF($B$22&lt;&gt;"Ready","",IF($B$6+1&gt;=$B$8,"",IF(A151&lt;$B$7,0,12*(IF($B$13&gt;0,IF(A151&gt;=$B$14,$B$13,0),0)+IF($B$15&gt;0,IF(A151&gt;=$B$16,$B$15,0),0)))))</f>
      </c>
      <c r="E151" s="3">
        <f>IF($B$22&lt;&gt;"Ready","",IF($B$6+1&gt;=$B$8,"",IF(A151&lt;$B$7,0,12*$B$12)))</f>
      </c>
      <c r="F151" s="3">
        <f>IF($B$22&lt;&gt;"Ready","",IF($B$6+1&gt;=$B$8,"",MAX(0,E151-D151)))</f>
      </c>
      <c r="G151" s="3">
        <f>IF($B$22&lt;&gt;"Ready","",IF($B$6+1&gt;=$B$8,"",MAX(0,B151*(1+$B$28)+C151-F151)))</f>
      </c>
      <c r="H151" s="3">
        <f>IF($B$22&lt;&gt;"Ready","",IF($B$6+1&gt;=$B$8,"",ROUND(IF(ABS((MAX(0,F151-(B151*(1+$B$28)+C151))*100)-(INT(MAX(0,F151-(B151*(1+$B$28)+C151))*100)+0.5))&lt;=MIN(0.0000001,4*2.220446049250313E-16*MAX(1,ABS(F151),ABS(B151*(1+$B$28)+C151))*100),(INT(MAX(0,F151-(B151*(1+$B$28)+C151))*100)+0.5),MAX(0,F151-(B151*(1+$B$28)+C151))*100),0)/100))</f>
      </c>
      <c r="I151" s="0">
        <f>IF($B$22&lt;&gt;"Ready","",IF($B$6+1&gt;=$B$8,"",IF(I150&lt;&gt;"",I150,IF(H151&gt;0,A151+1,""))))</f>
      </c>
    </row>
    <row r="152" ht="15" customHeight="1">
      <c r="A152" s="0">
        <f>IF($B$22&lt;&gt;"Ready","",IF($B$6+2&gt;=$B$8,"",$B$6+2))</f>
      </c>
      <c r="B152" s="3">
        <f>IF($B$22&lt;&gt;"Ready","",IF($B$6+2&gt;=$B$8,"",G151))</f>
      </c>
      <c r="C152" s="3">
        <f>IF($B$22&lt;&gt;"Ready","",IF($B$6+2&gt;=$B$8,"",IF(A152&lt;$B$7,12*($B$10+$B$11),0)))</f>
      </c>
      <c r="D152" s="3">
        <f>IF($B$22&lt;&gt;"Ready","",IF($B$6+2&gt;=$B$8,"",IF(A152&lt;$B$7,0,12*(IF($B$13&gt;0,IF(A152&gt;=$B$14,$B$13,0),0)+IF($B$15&gt;0,IF(A152&gt;=$B$16,$B$15,0),0)))))</f>
      </c>
      <c r="E152" s="3">
        <f>IF($B$22&lt;&gt;"Ready","",IF($B$6+2&gt;=$B$8,"",IF(A152&lt;$B$7,0,12*$B$12)))</f>
      </c>
      <c r="F152" s="3">
        <f>IF($B$22&lt;&gt;"Ready","",IF($B$6+2&gt;=$B$8,"",MAX(0,E152-D152)))</f>
      </c>
      <c r="G152" s="3">
        <f>IF($B$22&lt;&gt;"Ready","",IF($B$6+2&gt;=$B$8,"",MAX(0,B152*(1+$B$28)+C152-F152)))</f>
      </c>
      <c r="H152" s="3">
        <f>IF($B$22&lt;&gt;"Ready","",IF($B$6+2&gt;=$B$8,"",ROUND(IF(ABS((MAX(0,F152-(B152*(1+$B$28)+C152))*100)-(INT(MAX(0,F152-(B152*(1+$B$28)+C152))*100)+0.5))&lt;=MIN(0.0000001,4*2.220446049250313E-16*MAX(1,ABS(F152),ABS(B152*(1+$B$28)+C152))*100),(INT(MAX(0,F152-(B152*(1+$B$28)+C152))*100)+0.5),MAX(0,F152-(B152*(1+$B$28)+C152))*100),0)/100))</f>
      </c>
      <c r="I152" s="0">
        <f>IF($B$22&lt;&gt;"Ready","",IF($B$6+2&gt;=$B$8,"",IF(I151&lt;&gt;"",I151,IF(H152&gt;0,A152+1,""))))</f>
      </c>
    </row>
    <row r="153" ht="15" customHeight="1">
      <c r="A153" s="0">
        <f>IF($B$22&lt;&gt;"Ready","",IF($B$6+3&gt;=$B$8,"",$B$6+3))</f>
      </c>
      <c r="B153" s="3">
        <f>IF($B$22&lt;&gt;"Ready","",IF($B$6+3&gt;=$B$8,"",G152))</f>
      </c>
      <c r="C153" s="3">
        <f>IF($B$22&lt;&gt;"Ready","",IF($B$6+3&gt;=$B$8,"",IF(A153&lt;$B$7,12*($B$10+$B$11),0)))</f>
      </c>
      <c r="D153" s="3">
        <f>IF($B$22&lt;&gt;"Ready","",IF($B$6+3&gt;=$B$8,"",IF(A153&lt;$B$7,0,12*(IF($B$13&gt;0,IF(A153&gt;=$B$14,$B$13,0),0)+IF($B$15&gt;0,IF(A153&gt;=$B$16,$B$15,0),0)))))</f>
      </c>
      <c r="E153" s="3">
        <f>IF($B$22&lt;&gt;"Ready","",IF($B$6+3&gt;=$B$8,"",IF(A153&lt;$B$7,0,12*$B$12)))</f>
      </c>
      <c r="F153" s="3">
        <f>IF($B$22&lt;&gt;"Ready","",IF($B$6+3&gt;=$B$8,"",MAX(0,E153-D153)))</f>
      </c>
      <c r="G153" s="3">
        <f>IF($B$22&lt;&gt;"Ready","",IF($B$6+3&gt;=$B$8,"",MAX(0,B153*(1+$B$28)+C153-F153)))</f>
      </c>
      <c r="H153" s="3">
        <f>IF($B$22&lt;&gt;"Ready","",IF($B$6+3&gt;=$B$8,"",ROUND(IF(ABS((MAX(0,F153-(B153*(1+$B$28)+C153))*100)-(INT(MAX(0,F153-(B153*(1+$B$28)+C153))*100)+0.5))&lt;=MIN(0.0000001,4*2.220446049250313E-16*MAX(1,ABS(F153),ABS(B153*(1+$B$28)+C153))*100),(INT(MAX(0,F153-(B153*(1+$B$28)+C153))*100)+0.5),MAX(0,F153-(B153*(1+$B$28)+C153))*100),0)/100))</f>
      </c>
      <c r="I153" s="0">
        <f>IF($B$22&lt;&gt;"Ready","",IF($B$6+3&gt;=$B$8,"",IF(I152&lt;&gt;"",I152,IF(H153&gt;0,A153+1,""))))</f>
      </c>
    </row>
    <row r="154" ht="15" customHeight="1">
      <c r="A154" s="0">
        <f>IF($B$22&lt;&gt;"Ready","",IF($B$6+4&gt;=$B$8,"",$B$6+4))</f>
      </c>
      <c r="B154" s="3">
        <f>IF($B$22&lt;&gt;"Ready","",IF($B$6+4&gt;=$B$8,"",G153))</f>
      </c>
      <c r="C154" s="3">
        <f>IF($B$22&lt;&gt;"Ready","",IF($B$6+4&gt;=$B$8,"",IF(A154&lt;$B$7,12*($B$10+$B$11),0)))</f>
      </c>
      <c r="D154" s="3">
        <f>IF($B$22&lt;&gt;"Ready","",IF($B$6+4&gt;=$B$8,"",IF(A154&lt;$B$7,0,12*(IF($B$13&gt;0,IF(A154&gt;=$B$14,$B$13,0),0)+IF($B$15&gt;0,IF(A154&gt;=$B$16,$B$15,0),0)))))</f>
      </c>
      <c r="E154" s="3">
        <f>IF($B$22&lt;&gt;"Ready","",IF($B$6+4&gt;=$B$8,"",IF(A154&lt;$B$7,0,12*$B$12)))</f>
      </c>
      <c r="F154" s="3">
        <f>IF($B$22&lt;&gt;"Ready","",IF($B$6+4&gt;=$B$8,"",MAX(0,E154-D154)))</f>
      </c>
      <c r="G154" s="3">
        <f>IF($B$22&lt;&gt;"Ready","",IF($B$6+4&gt;=$B$8,"",MAX(0,B154*(1+$B$28)+C154-F154)))</f>
      </c>
      <c r="H154" s="3">
        <f>IF($B$22&lt;&gt;"Ready","",IF($B$6+4&gt;=$B$8,"",ROUND(IF(ABS((MAX(0,F154-(B154*(1+$B$28)+C154))*100)-(INT(MAX(0,F154-(B154*(1+$B$28)+C154))*100)+0.5))&lt;=MIN(0.0000001,4*2.220446049250313E-16*MAX(1,ABS(F154),ABS(B154*(1+$B$28)+C154))*100),(INT(MAX(0,F154-(B154*(1+$B$28)+C154))*100)+0.5),MAX(0,F154-(B154*(1+$B$28)+C154))*100),0)/100))</f>
      </c>
      <c r="I154" s="0">
        <f>IF($B$22&lt;&gt;"Ready","",IF($B$6+4&gt;=$B$8,"",IF(I153&lt;&gt;"",I153,IF(H154&gt;0,A154+1,""))))</f>
      </c>
    </row>
    <row r="155" ht="15" customHeight="1">
      <c r="A155" s="0">
        <f>IF($B$22&lt;&gt;"Ready","",IF($B$6+5&gt;=$B$8,"",$B$6+5))</f>
      </c>
      <c r="B155" s="3">
        <f>IF($B$22&lt;&gt;"Ready","",IF($B$6+5&gt;=$B$8,"",G154))</f>
      </c>
      <c r="C155" s="3">
        <f>IF($B$22&lt;&gt;"Ready","",IF($B$6+5&gt;=$B$8,"",IF(A155&lt;$B$7,12*($B$10+$B$11),0)))</f>
      </c>
      <c r="D155" s="3">
        <f>IF($B$22&lt;&gt;"Ready","",IF($B$6+5&gt;=$B$8,"",IF(A155&lt;$B$7,0,12*(IF($B$13&gt;0,IF(A155&gt;=$B$14,$B$13,0),0)+IF($B$15&gt;0,IF(A155&gt;=$B$16,$B$15,0),0)))))</f>
      </c>
      <c r="E155" s="3">
        <f>IF($B$22&lt;&gt;"Ready","",IF($B$6+5&gt;=$B$8,"",IF(A155&lt;$B$7,0,12*$B$12)))</f>
      </c>
      <c r="F155" s="3">
        <f>IF($B$22&lt;&gt;"Ready","",IF($B$6+5&gt;=$B$8,"",MAX(0,E155-D155)))</f>
      </c>
      <c r="G155" s="3">
        <f>IF($B$22&lt;&gt;"Ready","",IF($B$6+5&gt;=$B$8,"",MAX(0,B155*(1+$B$28)+C155-F155)))</f>
      </c>
      <c r="H155" s="3">
        <f>IF($B$22&lt;&gt;"Ready","",IF($B$6+5&gt;=$B$8,"",ROUND(IF(ABS((MAX(0,F155-(B155*(1+$B$28)+C155))*100)-(INT(MAX(0,F155-(B155*(1+$B$28)+C155))*100)+0.5))&lt;=MIN(0.0000001,4*2.220446049250313E-16*MAX(1,ABS(F155),ABS(B155*(1+$B$28)+C155))*100),(INT(MAX(0,F155-(B155*(1+$B$28)+C155))*100)+0.5),MAX(0,F155-(B155*(1+$B$28)+C155))*100),0)/100))</f>
      </c>
      <c r="I155" s="0">
        <f>IF($B$22&lt;&gt;"Ready","",IF($B$6+5&gt;=$B$8,"",IF(I154&lt;&gt;"",I154,IF(H155&gt;0,A155+1,""))))</f>
      </c>
    </row>
    <row r="156" ht="15" customHeight="1">
      <c r="A156" s="0">
        <f>IF($B$22&lt;&gt;"Ready","",IF($B$6+6&gt;=$B$8,"",$B$6+6))</f>
      </c>
      <c r="B156" s="3">
        <f>IF($B$22&lt;&gt;"Ready","",IF($B$6+6&gt;=$B$8,"",G155))</f>
      </c>
      <c r="C156" s="3">
        <f>IF($B$22&lt;&gt;"Ready","",IF($B$6+6&gt;=$B$8,"",IF(A156&lt;$B$7,12*($B$10+$B$11),0)))</f>
      </c>
      <c r="D156" s="3">
        <f>IF($B$22&lt;&gt;"Ready","",IF($B$6+6&gt;=$B$8,"",IF(A156&lt;$B$7,0,12*(IF($B$13&gt;0,IF(A156&gt;=$B$14,$B$13,0),0)+IF($B$15&gt;0,IF(A156&gt;=$B$16,$B$15,0),0)))))</f>
      </c>
      <c r="E156" s="3">
        <f>IF($B$22&lt;&gt;"Ready","",IF($B$6+6&gt;=$B$8,"",IF(A156&lt;$B$7,0,12*$B$12)))</f>
      </c>
      <c r="F156" s="3">
        <f>IF($B$22&lt;&gt;"Ready","",IF($B$6+6&gt;=$B$8,"",MAX(0,E156-D156)))</f>
      </c>
      <c r="G156" s="3">
        <f>IF($B$22&lt;&gt;"Ready","",IF($B$6+6&gt;=$B$8,"",MAX(0,B156*(1+$B$28)+C156-F156)))</f>
      </c>
      <c r="H156" s="3">
        <f>IF($B$22&lt;&gt;"Ready","",IF($B$6+6&gt;=$B$8,"",ROUND(IF(ABS((MAX(0,F156-(B156*(1+$B$28)+C156))*100)-(INT(MAX(0,F156-(B156*(1+$B$28)+C156))*100)+0.5))&lt;=MIN(0.0000001,4*2.220446049250313E-16*MAX(1,ABS(F156),ABS(B156*(1+$B$28)+C156))*100),(INT(MAX(0,F156-(B156*(1+$B$28)+C156))*100)+0.5),MAX(0,F156-(B156*(1+$B$28)+C156))*100),0)/100))</f>
      </c>
      <c r="I156" s="0">
        <f>IF($B$22&lt;&gt;"Ready","",IF($B$6+6&gt;=$B$8,"",IF(I155&lt;&gt;"",I155,IF(H156&gt;0,A156+1,""))))</f>
      </c>
    </row>
    <row r="157" ht="15" customHeight="1">
      <c r="A157" s="0">
        <f>IF($B$22&lt;&gt;"Ready","",IF($B$6+7&gt;=$B$8,"",$B$6+7))</f>
      </c>
      <c r="B157" s="3">
        <f>IF($B$22&lt;&gt;"Ready","",IF($B$6+7&gt;=$B$8,"",G156))</f>
      </c>
      <c r="C157" s="3">
        <f>IF($B$22&lt;&gt;"Ready","",IF($B$6+7&gt;=$B$8,"",IF(A157&lt;$B$7,12*($B$10+$B$11),0)))</f>
      </c>
      <c r="D157" s="3">
        <f>IF($B$22&lt;&gt;"Ready","",IF($B$6+7&gt;=$B$8,"",IF(A157&lt;$B$7,0,12*(IF($B$13&gt;0,IF(A157&gt;=$B$14,$B$13,0),0)+IF($B$15&gt;0,IF(A157&gt;=$B$16,$B$15,0),0)))))</f>
      </c>
      <c r="E157" s="3">
        <f>IF($B$22&lt;&gt;"Ready","",IF($B$6+7&gt;=$B$8,"",IF(A157&lt;$B$7,0,12*$B$12)))</f>
      </c>
      <c r="F157" s="3">
        <f>IF($B$22&lt;&gt;"Ready","",IF($B$6+7&gt;=$B$8,"",MAX(0,E157-D157)))</f>
      </c>
      <c r="G157" s="3">
        <f>IF($B$22&lt;&gt;"Ready","",IF($B$6+7&gt;=$B$8,"",MAX(0,B157*(1+$B$28)+C157-F157)))</f>
      </c>
      <c r="H157" s="3">
        <f>IF($B$22&lt;&gt;"Ready","",IF($B$6+7&gt;=$B$8,"",ROUND(IF(ABS((MAX(0,F157-(B157*(1+$B$28)+C157))*100)-(INT(MAX(0,F157-(B157*(1+$B$28)+C157))*100)+0.5))&lt;=MIN(0.0000001,4*2.220446049250313E-16*MAX(1,ABS(F157),ABS(B157*(1+$B$28)+C157))*100),(INT(MAX(0,F157-(B157*(1+$B$28)+C157))*100)+0.5),MAX(0,F157-(B157*(1+$B$28)+C157))*100),0)/100))</f>
      </c>
      <c r="I157" s="0">
        <f>IF($B$22&lt;&gt;"Ready","",IF($B$6+7&gt;=$B$8,"",IF(I156&lt;&gt;"",I156,IF(H157&gt;0,A157+1,""))))</f>
      </c>
    </row>
    <row r="158" ht="15" customHeight="1">
      <c r="A158" s="0">
        <f>IF($B$22&lt;&gt;"Ready","",IF($B$6+8&gt;=$B$8,"",$B$6+8))</f>
      </c>
      <c r="B158" s="3">
        <f>IF($B$22&lt;&gt;"Ready","",IF($B$6+8&gt;=$B$8,"",G157))</f>
      </c>
      <c r="C158" s="3">
        <f>IF($B$22&lt;&gt;"Ready","",IF($B$6+8&gt;=$B$8,"",IF(A158&lt;$B$7,12*($B$10+$B$11),0)))</f>
      </c>
      <c r="D158" s="3">
        <f>IF($B$22&lt;&gt;"Ready","",IF($B$6+8&gt;=$B$8,"",IF(A158&lt;$B$7,0,12*(IF($B$13&gt;0,IF(A158&gt;=$B$14,$B$13,0),0)+IF($B$15&gt;0,IF(A158&gt;=$B$16,$B$15,0),0)))))</f>
      </c>
      <c r="E158" s="3">
        <f>IF($B$22&lt;&gt;"Ready","",IF($B$6+8&gt;=$B$8,"",IF(A158&lt;$B$7,0,12*$B$12)))</f>
      </c>
      <c r="F158" s="3">
        <f>IF($B$22&lt;&gt;"Ready","",IF($B$6+8&gt;=$B$8,"",MAX(0,E158-D158)))</f>
      </c>
      <c r="G158" s="3">
        <f>IF($B$22&lt;&gt;"Ready","",IF($B$6+8&gt;=$B$8,"",MAX(0,B158*(1+$B$28)+C158-F158)))</f>
      </c>
      <c r="H158" s="3">
        <f>IF($B$22&lt;&gt;"Ready","",IF($B$6+8&gt;=$B$8,"",ROUND(IF(ABS((MAX(0,F158-(B158*(1+$B$28)+C158))*100)-(INT(MAX(0,F158-(B158*(1+$B$28)+C158))*100)+0.5))&lt;=MIN(0.0000001,4*2.220446049250313E-16*MAX(1,ABS(F158),ABS(B158*(1+$B$28)+C158))*100),(INT(MAX(0,F158-(B158*(1+$B$28)+C158))*100)+0.5),MAX(0,F158-(B158*(1+$B$28)+C158))*100),0)/100))</f>
      </c>
      <c r="I158" s="0">
        <f>IF($B$22&lt;&gt;"Ready","",IF($B$6+8&gt;=$B$8,"",IF(I157&lt;&gt;"",I157,IF(H158&gt;0,A158+1,""))))</f>
      </c>
    </row>
    <row r="159" ht="15" customHeight="1">
      <c r="A159" s="0">
        <f>IF($B$22&lt;&gt;"Ready","",IF($B$6+9&gt;=$B$8,"",$B$6+9))</f>
      </c>
      <c r="B159" s="3">
        <f>IF($B$22&lt;&gt;"Ready","",IF($B$6+9&gt;=$B$8,"",G158))</f>
      </c>
      <c r="C159" s="3">
        <f>IF($B$22&lt;&gt;"Ready","",IF($B$6+9&gt;=$B$8,"",IF(A159&lt;$B$7,12*($B$10+$B$11),0)))</f>
      </c>
      <c r="D159" s="3">
        <f>IF($B$22&lt;&gt;"Ready","",IF($B$6+9&gt;=$B$8,"",IF(A159&lt;$B$7,0,12*(IF($B$13&gt;0,IF(A159&gt;=$B$14,$B$13,0),0)+IF($B$15&gt;0,IF(A159&gt;=$B$16,$B$15,0),0)))))</f>
      </c>
      <c r="E159" s="3">
        <f>IF($B$22&lt;&gt;"Ready","",IF($B$6+9&gt;=$B$8,"",IF(A159&lt;$B$7,0,12*$B$12)))</f>
      </c>
      <c r="F159" s="3">
        <f>IF($B$22&lt;&gt;"Ready","",IF($B$6+9&gt;=$B$8,"",MAX(0,E159-D159)))</f>
      </c>
      <c r="G159" s="3">
        <f>IF($B$22&lt;&gt;"Ready","",IF($B$6+9&gt;=$B$8,"",MAX(0,B159*(1+$B$28)+C159-F159)))</f>
      </c>
      <c r="H159" s="3">
        <f>IF($B$22&lt;&gt;"Ready","",IF($B$6+9&gt;=$B$8,"",ROUND(IF(ABS((MAX(0,F159-(B159*(1+$B$28)+C159))*100)-(INT(MAX(0,F159-(B159*(1+$B$28)+C159))*100)+0.5))&lt;=MIN(0.0000001,4*2.220446049250313E-16*MAX(1,ABS(F159),ABS(B159*(1+$B$28)+C159))*100),(INT(MAX(0,F159-(B159*(1+$B$28)+C159))*100)+0.5),MAX(0,F159-(B159*(1+$B$28)+C159))*100),0)/100))</f>
      </c>
      <c r="I159" s="0">
        <f>IF($B$22&lt;&gt;"Ready","",IF($B$6+9&gt;=$B$8,"",IF(I158&lt;&gt;"",I158,IF(H159&gt;0,A159+1,""))))</f>
      </c>
    </row>
    <row r="160" ht="15" customHeight="1">
      <c r="A160" s="0">
        <f>IF($B$22&lt;&gt;"Ready","",IF($B$6+10&gt;=$B$8,"",$B$6+10))</f>
      </c>
      <c r="B160" s="3">
        <f>IF($B$22&lt;&gt;"Ready","",IF($B$6+10&gt;=$B$8,"",G159))</f>
      </c>
      <c r="C160" s="3">
        <f>IF($B$22&lt;&gt;"Ready","",IF($B$6+10&gt;=$B$8,"",IF(A160&lt;$B$7,12*($B$10+$B$11),0)))</f>
      </c>
      <c r="D160" s="3">
        <f>IF($B$22&lt;&gt;"Ready","",IF($B$6+10&gt;=$B$8,"",IF(A160&lt;$B$7,0,12*(IF($B$13&gt;0,IF(A160&gt;=$B$14,$B$13,0),0)+IF($B$15&gt;0,IF(A160&gt;=$B$16,$B$15,0),0)))))</f>
      </c>
      <c r="E160" s="3">
        <f>IF($B$22&lt;&gt;"Ready","",IF($B$6+10&gt;=$B$8,"",IF(A160&lt;$B$7,0,12*$B$12)))</f>
      </c>
      <c r="F160" s="3">
        <f>IF($B$22&lt;&gt;"Ready","",IF($B$6+10&gt;=$B$8,"",MAX(0,E160-D160)))</f>
      </c>
      <c r="G160" s="3">
        <f>IF($B$22&lt;&gt;"Ready","",IF($B$6+10&gt;=$B$8,"",MAX(0,B160*(1+$B$28)+C160-F160)))</f>
      </c>
      <c r="H160" s="3">
        <f>IF($B$22&lt;&gt;"Ready","",IF($B$6+10&gt;=$B$8,"",ROUND(IF(ABS((MAX(0,F160-(B160*(1+$B$28)+C160))*100)-(INT(MAX(0,F160-(B160*(1+$B$28)+C160))*100)+0.5))&lt;=MIN(0.0000001,4*2.220446049250313E-16*MAX(1,ABS(F160),ABS(B160*(1+$B$28)+C160))*100),(INT(MAX(0,F160-(B160*(1+$B$28)+C160))*100)+0.5),MAX(0,F160-(B160*(1+$B$28)+C160))*100),0)/100))</f>
      </c>
      <c r="I160" s="0">
        <f>IF($B$22&lt;&gt;"Ready","",IF($B$6+10&gt;=$B$8,"",IF(I159&lt;&gt;"",I159,IF(H160&gt;0,A160+1,""))))</f>
      </c>
    </row>
    <row r="161" ht="15" customHeight="1">
      <c r="A161" s="0">
        <f>IF($B$22&lt;&gt;"Ready","",IF($B$6+11&gt;=$B$8,"",$B$6+11))</f>
      </c>
      <c r="B161" s="3">
        <f>IF($B$22&lt;&gt;"Ready","",IF($B$6+11&gt;=$B$8,"",G160))</f>
      </c>
      <c r="C161" s="3">
        <f>IF($B$22&lt;&gt;"Ready","",IF($B$6+11&gt;=$B$8,"",IF(A161&lt;$B$7,12*($B$10+$B$11),0)))</f>
      </c>
      <c r="D161" s="3">
        <f>IF($B$22&lt;&gt;"Ready","",IF($B$6+11&gt;=$B$8,"",IF(A161&lt;$B$7,0,12*(IF($B$13&gt;0,IF(A161&gt;=$B$14,$B$13,0),0)+IF($B$15&gt;0,IF(A161&gt;=$B$16,$B$15,0),0)))))</f>
      </c>
      <c r="E161" s="3">
        <f>IF($B$22&lt;&gt;"Ready","",IF($B$6+11&gt;=$B$8,"",IF(A161&lt;$B$7,0,12*$B$12)))</f>
      </c>
      <c r="F161" s="3">
        <f>IF($B$22&lt;&gt;"Ready","",IF($B$6+11&gt;=$B$8,"",MAX(0,E161-D161)))</f>
      </c>
      <c r="G161" s="3">
        <f>IF($B$22&lt;&gt;"Ready","",IF($B$6+11&gt;=$B$8,"",MAX(0,B161*(1+$B$28)+C161-F161)))</f>
      </c>
      <c r="H161" s="3">
        <f>IF($B$22&lt;&gt;"Ready","",IF($B$6+11&gt;=$B$8,"",ROUND(IF(ABS((MAX(0,F161-(B161*(1+$B$28)+C161))*100)-(INT(MAX(0,F161-(B161*(1+$B$28)+C161))*100)+0.5))&lt;=MIN(0.0000001,4*2.220446049250313E-16*MAX(1,ABS(F161),ABS(B161*(1+$B$28)+C161))*100),(INT(MAX(0,F161-(B161*(1+$B$28)+C161))*100)+0.5),MAX(0,F161-(B161*(1+$B$28)+C161))*100),0)/100))</f>
      </c>
      <c r="I161" s="0">
        <f>IF($B$22&lt;&gt;"Ready","",IF($B$6+11&gt;=$B$8,"",IF(I160&lt;&gt;"",I160,IF(H161&gt;0,A161+1,""))))</f>
      </c>
    </row>
    <row r="162" ht="15" customHeight="1">
      <c r="A162" s="0">
        <f>IF($B$22&lt;&gt;"Ready","",IF($B$6+12&gt;=$B$8,"",$B$6+12))</f>
      </c>
      <c r="B162" s="3">
        <f>IF($B$22&lt;&gt;"Ready","",IF($B$6+12&gt;=$B$8,"",G161))</f>
      </c>
      <c r="C162" s="3">
        <f>IF($B$22&lt;&gt;"Ready","",IF($B$6+12&gt;=$B$8,"",IF(A162&lt;$B$7,12*($B$10+$B$11),0)))</f>
      </c>
      <c r="D162" s="3">
        <f>IF($B$22&lt;&gt;"Ready","",IF($B$6+12&gt;=$B$8,"",IF(A162&lt;$B$7,0,12*(IF($B$13&gt;0,IF(A162&gt;=$B$14,$B$13,0),0)+IF($B$15&gt;0,IF(A162&gt;=$B$16,$B$15,0),0)))))</f>
      </c>
      <c r="E162" s="3">
        <f>IF($B$22&lt;&gt;"Ready","",IF($B$6+12&gt;=$B$8,"",IF(A162&lt;$B$7,0,12*$B$12)))</f>
      </c>
      <c r="F162" s="3">
        <f>IF($B$22&lt;&gt;"Ready","",IF($B$6+12&gt;=$B$8,"",MAX(0,E162-D162)))</f>
      </c>
      <c r="G162" s="3">
        <f>IF($B$22&lt;&gt;"Ready","",IF($B$6+12&gt;=$B$8,"",MAX(0,B162*(1+$B$28)+C162-F162)))</f>
      </c>
      <c r="H162" s="3">
        <f>IF($B$22&lt;&gt;"Ready","",IF($B$6+12&gt;=$B$8,"",ROUND(IF(ABS((MAX(0,F162-(B162*(1+$B$28)+C162))*100)-(INT(MAX(0,F162-(B162*(1+$B$28)+C162))*100)+0.5))&lt;=MIN(0.0000001,4*2.220446049250313E-16*MAX(1,ABS(F162),ABS(B162*(1+$B$28)+C162))*100),(INT(MAX(0,F162-(B162*(1+$B$28)+C162))*100)+0.5),MAX(0,F162-(B162*(1+$B$28)+C162))*100),0)/100))</f>
      </c>
      <c r="I162" s="0">
        <f>IF($B$22&lt;&gt;"Ready","",IF($B$6+12&gt;=$B$8,"",IF(I161&lt;&gt;"",I161,IF(H162&gt;0,A162+1,""))))</f>
      </c>
    </row>
    <row r="163" ht="15" customHeight="1">
      <c r="A163" s="0">
        <f>IF($B$22&lt;&gt;"Ready","",IF($B$6+13&gt;=$B$8,"",$B$6+13))</f>
      </c>
      <c r="B163" s="3">
        <f>IF($B$22&lt;&gt;"Ready","",IF($B$6+13&gt;=$B$8,"",G162))</f>
      </c>
      <c r="C163" s="3">
        <f>IF($B$22&lt;&gt;"Ready","",IF($B$6+13&gt;=$B$8,"",IF(A163&lt;$B$7,12*($B$10+$B$11),0)))</f>
      </c>
      <c r="D163" s="3">
        <f>IF($B$22&lt;&gt;"Ready","",IF($B$6+13&gt;=$B$8,"",IF(A163&lt;$B$7,0,12*(IF($B$13&gt;0,IF(A163&gt;=$B$14,$B$13,0),0)+IF($B$15&gt;0,IF(A163&gt;=$B$16,$B$15,0),0)))))</f>
      </c>
      <c r="E163" s="3">
        <f>IF($B$22&lt;&gt;"Ready","",IF($B$6+13&gt;=$B$8,"",IF(A163&lt;$B$7,0,12*$B$12)))</f>
      </c>
      <c r="F163" s="3">
        <f>IF($B$22&lt;&gt;"Ready","",IF($B$6+13&gt;=$B$8,"",MAX(0,E163-D163)))</f>
      </c>
      <c r="G163" s="3">
        <f>IF($B$22&lt;&gt;"Ready","",IF($B$6+13&gt;=$B$8,"",MAX(0,B163*(1+$B$28)+C163-F163)))</f>
      </c>
      <c r="H163" s="3">
        <f>IF($B$22&lt;&gt;"Ready","",IF($B$6+13&gt;=$B$8,"",ROUND(IF(ABS((MAX(0,F163-(B163*(1+$B$28)+C163))*100)-(INT(MAX(0,F163-(B163*(1+$B$28)+C163))*100)+0.5))&lt;=MIN(0.0000001,4*2.220446049250313E-16*MAX(1,ABS(F163),ABS(B163*(1+$B$28)+C163))*100),(INT(MAX(0,F163-(B163*(1+$B$28)+C163))*100)+0.5),MAX(0,F163-(B163*(1+$B$28)+C163))*100),0)/100))</f>
      </c>
      <c r="I163" s="0">
        <f>IF($B$22&lt;&gt;"Ready","",IF($B$6+13&gt;=$B$8,"",IF(I162&lt;&gt;"",I162,IF(H163&gt;0,A163+1,""))))</f>
      </c>
    </row>
    <row r="164" ht="15" customHeight="1">
      <c r="A164" s="0">
        <f>IF($B$22&lt;&gt;"Ready","",IF($B$6+14&gt;=$B$8,"",$B$6+14))</f>
      </c>
      <c r="B164" s="3">
        <f>IF($B$22&lt;&gt;"Ready","",IF($B$6+14&gt;=$B$8,"",G163))</f>
      </c>
      <c r="C164" s="3">
        <f>IF($B$22&lt;&gt;"Ready","",IF($B$6+14&gt;=$B$8,"",IF(A164&lt;$B$7,12*($B$10+$B$11),0)))</f>
      </c>
      <c r="D164" s="3">
        <f>IF($B$22&lt;&gt;"Ready","",IF($B$6+14&gt;=$B$8,"",IF(A164&lt;$B$7,0,12*(IF($B$13&gt;0,IF(A164&gt;=$B$14,$B$13,0),0)+IF($B$15&gt;0,IF(A164&gt;=$B$16,$B$15,0),0)))))</f>
      </c>
      <c r="E164" s="3">
        <f>IF($B$22&lt;&gt;"Ready","",IF($B$6+14&gt;=$B$8,"",IF(A164&lt;$B$7,0,12*$B$12)))</f>
      </c>
      <c r="F164" s="3">
        <f>IF($B$22&lt;&gt;"Ready","",IF($B$6+14&gt;=$B$8,"",MAX(0,E164-D164)))</f>
      </c>
      <c r="G164" s="3">
        <f>IF($B$22&lt;&gt;"Ready","",IF($B$6+14&gt;=$B$8,"",MAX(0,B164*(1+$B$28)+C164-F164)))</f>
      </c>
      <c r="H164" s="3">
        <f>IF($B$22&lt;&gt;"Ready","",IF($B$6+14&gt;=$B$8,"",ROUND(IF(ABS((MAX(0,F164-(B164*(1+$B$28)+C164))*100)-(INT(MAX(0,F164-(B164*(1+$B$28)+C164))*100)+0.5))&lt;=MIN(0.0000001,4*2.220446049250313E-16*MAX(1,ABS(F164),ABS(B164*(1+$B$28)+C164))*100),(INT(MAX(0,F164-(B164*(1+$B$28)+C164))*100)+0.5),MAX(0,F164-(B164*(1+$B$28)+C164))*100),0)/100))</f>
      </c>
      <c r="I164" s="0">
        <f>IF($B$22&lt;&gt;"Ready","",IF($B$6+14&gt;=$B$8,"",IF(I163&lt;&gt;"",I163,IF(H164&gt;0,A164+1,""))))</f>
      </c>
    </row>
    <row r="165" ht="15" customHeight="1">
      <c r="A165" s="0">
        <f>IF($B$22&lt;&gt;"Ready","",IF($B$6+15&gt;=$B$8,"",$B$6+15))</f>
      </c>
      <c r="B165" s="3">
        <f>IF($B$22&lt;&gt;"Ready","",IF($B$6+15&gt;=$B$8,"",G164))</f>
      </c>
      <c r="C165" s="3">
        <f>IF($B$22&lt;&gt;"Ready","",IF($B$6+15&gt;=$B$8,"",IF(A165&lt;$B$7,12*($B$10+$B$11),0)))</f>
      </c>
      <c r="D165" s="3">
        <f>IF($B$22&lt;&gt;"Ready","",IF($B$6+15&gt;=$B$8,"",IF(A165&lt;$B$7,0,12*(IF($B$13&gt;0,IF(A165&gt;=$B$14,$B$13,0),0)+IF($B$15&gt;0,IF(A165&gt;=$B$16,$B$15,0),0)))))</f>
      </c>
      <c r="E165" s="3">
        <f>IF($B$22&lt;&gt;"Ready","",IF($B$6+15&gt;=$B$8,"",IF(A165&lt;$B$7,0,12*$B$12)))</f>
      </c>
      <c r="F165" s="3">
        <f>IF($B$22&lt;&gt;"Ready","",IF($B$6+15&gt;=$B$8,"",MAX(0,E165-D165)))</f>
      </c>
      <c r="G165" s="3">
        <f>IF($B$22&lt;&gt;"Ready","",IF($B$6+15&gt;=$B$8,"",MAX(0,B165*(1+$B$28)+C165-F165)))</f>
      </c>
      <c r="H165" s="3">
        <f>IF($B$22&lt;&gt;"Ready","",IF($B$6+15&gt;=$B$8,"",ROUND(IF(ABS((MAX(0,F165-(B165*(1+$B$28)+C165))*100)-(INT(MAX(0,F165-(B165*(1+$B$28)+C165))*100)+0.5))&lt;=MIN(0.0000001,4*2.220446049250313E-16*MAX(1,ABS(F165),ABS(B165*(1+$B$28)+C165))*100),(INT(MAX(0,F165-(B165*(1+$B$28)+C165))*100)+0.5),MAX(0,F165-(B165*(1+$B$28)+C165))*100),0)/100))</f>
      </c>
      <c r="I165" s="0">
        <f>IF($B$22&lt;&gt;"Ready","",IF($B$6+15&gt;=$B$8,"",IF(I164&lt;&gt;"",I164,IF(H165&gt;0,A165+1,""))))</f>
      </c>
    </row>
    <row r="166" ht="15" customHeight="1">
      <c r="A166" s="0">
        <f>IF($B$22&lt;&gt;"Ready","",IF($B$6+16&gt;=$B$8,"",$B$6+16))</f>
      </c>
      <c r="B166" s="3">
        <f>IF($B$22&lt;&gt;"Ready","",IF($B$6+16&gt;=$B$8,"",G165))</f>
      </c>
      <c r="C166" s="3">
        <f>IF($B$22&lt;&gt;"Ready","",IF($B$6+16&gt;=$B$8,"",IF(A166&lt;$B$7,12*($B$10+$B$11),0)))</f>
      </c>
      <c r="D166" s="3">
        <f>IF($B$22&lt;&gt;"Ready","",IF($B$6+16&gt;=$B$8,"",IF(A166&lt;$B$7,0,12*(IF($B$13&gt;0,IF(A166&gt;=$B$14,$B$13,0),0)+IF($B$15&gt;0,IF(A166&gt;=$B$16,$B$15,0),0)))))</f>
      </c>
      <c r="E166" s="3">
        <f>IF($B$22&lt;&gt;"Ready","",IF($B$6+16&gt;=$B$8,"",IF(A166&lt;$B$7,0,12*$B$12)))</f>
      </c>
      <c r="F166" s="3">
        <f>IF($B$22&lt;&gt;"Ready","",IF($B$6+16&gt;=$B$8,"",MAX(0,E166-D166)))</f>
      </c>
      <c r="G166" s="3">
        <f>IF($B$22&lt;&gt;"Ready","",IF($B$6+16&gt;=$B$8,"",MAX(0,B166*(1+$B$28)+C166-F166)))</f>
      </c>
      <c r="H166" s="3">
        <f>IF($B$22&lt;&gt;"Ready","",IF($B$6+16&gt;=$B$8,"",ROUND(IF(ABS((MAX(0,F166-(B166*(1+$B$28)+C166))*100)-(INT(MAX(0,F166-(B166*(1+$B$28)+C166))*100)+0.5))&lt;=MIN(0.0000001,4*2.220446049250313E-16*MAX(1,ABS(F166),ABS(B166*(1+$B$28)+C166))*100),(INT(MAX(0,F166-(B166*(1+$B$28)+C166))*100)+0.5),MAX(0,F166-(B166*(1+$B$28)+C166))*100),0)/100))</f>
      </c>
      <c r="I166" s="0">
        <f>IF($B$22&lt;&gt;"Ready","",IF($B$6+16&gt;=$B$8,"",IF(I165&lt;&gt;"",I165,IF(H166&gt;0,A166+1,""))))</f>
      </c>
    </row>
    <row r="167" ht="15" customHeight="1">
      <c r="A167" s="0">
        <f>IF($B$22&lt;&gt;"Ready","",IF($B$6+17&gt;=$B$8,"",$B$6+17))</f>
      </c>
      <c r="B167" s="3">
        <f>IF($B$22&lt;&gt;"Ready","",IF($B$6+17&gt;=$B$8,"",G166))</f>
      </c>
      <c r="C167" s="3">
        <f>IF($B$22&lt;&gt;"Ready","",IF($B$6+17&gt;=$B$8,"",IF(A167&lt;$B$7,12*($B$10+$B$11),0)))</f>
      </c>
      <c r="D167" s="3">
        <f>IF($B$22&lt;&gt;"Ready","",IF($B$6+17&gt;=$B$8,"",IF(A167&lt;$B$7,0,12*(IF($B$13&gt;0,IF(A167&gt;=$B$14,$B$13,0),0)+IF($B$15&gt;0,IF(A167&gt;=$B$16,$B$15,0),0)))))</f>
      </c>
      <c r="E167" s="3">
        <f>IF($B$22&lt;&gt;"Ready","",IF($B$6+17&gt;=$B$8,"",IF(A167&lt;$B$7,0,12*$B$12)))</f>
      </c>
      <c r="F167" s="3">
        <f>IF($B$22&lt;&gt;"Ready","",IF($B$6+17&gt;=$B$8,"",MAX(0,E167-D167)))</f>
      </c>
      <c r="G167" s="3">
        <f>IF($B$22&lt;&gt;"Ready","",IF($B$6+17&gt;=$B$8,"",MAX(0,B167*(1+$B$28)+C167-F167)))</f>
      </c>
      <c r="H167" s="3">
        <f>IF($B$22&lt;&gt;"Ready","",IF($B$6+17&gt;=$B$8,"",ROUND(IF(ABS((MAX(0,F167-(B167*(1+$B$28)+C167))*100)-(INT(MAX(0,F167-(B167*(1+$B$28)+C167))*100)+0.5))&lt;=MIN(0.0000001,4*2.220446049250313E-16*MAX(1,ABS(F167),ABS(B167*(1+$B$28)+C167))*100),(INT(MAX(0,F167-(B167*(1+$B$28)+C167))*100)+0.5),MAX(0,F167-(B167*(1+$B$28)+C167))*100),0)/100))</f>
      </c>
      <c r="I167" s="0">
        <f>IF($B$22&lt;&gt;"Ready","",IF($B$6+17&gt;=$B$8,"",IF(I166&lt;&gt;"",I166,IF(H167&gt;0,A167+1,""))))</f>
      </c>
    </row>
    <row r="168" ht="15" customHeight="1">
      <c r="A168" s="0">
        <f>IF($B$22&lt;&gt;"Ready","",IF($B$6+18&gt;=$B$8,"",$B$6+18))</f>
      </c>
      <c r="B168" s="3">
        <f>IF($B$22&lt;&gt;"Ready","",IF($B$6+18&gt;=$B$8,"",G167))</f>
      </c>
      <c r="C168" s="3">
        <f>IF($B$22&lt;&gt;"Ready","",IF($B$6+18&gt;=$B$8,"",IF(A168&lt;$B$7,12*($B$10+$B$11),0)))</f>
      </c>
      <c r="D168" s="3">
        <f>IF($B$22&lt;&gt;"Ready","",IF($B$6+18&gt;=$B$8,"",IF(A168&lt;$B$7,0,12*(IF($B$13&gt;0,IF(A168&gt;=$B$14,$B$13,0),0)+IF($B$15&gt;0,IF(A168&gt;=$B$16,$B$15,0),0)))))</f>
      </c>
      <c r="E168" s="3">
        <f>IF($B$22&lt;&gt;"Ready","",IF($B$6+18&gt;=$B$8,"",IF(A168&lt;$B$7,0,12*$B$12)))</f>
      </c>
      <c r="F168" s="3">
        <f>IF($B$22&lt;&gt;"Ready","",IF($B$6+18&gt;=$B$8,"",MAX(0,E168-D168)))</f>
      </c>
      <c r="G168" s="3">
        <f>IF($B$22&lt;&gt;"Ready","",IF($B$6+18&gt;=$B$8,"",MAX(0,B168*(1+$B$28)+C168-F168)))</f>
      </c>
      <c r="H168" s="3">
        <f>IF($B$22&lt;&gt;"Ready","",IF($B$6+18&gt;=$B$8,"",ROUND(IF(ABS((MAX(0,F168-(B168*(1+$B$28)+C168))*100)-(INT(MAX(0,F168-(B168*(1+$B$28)+C168))*100)+0.5))&lt;=MIN(0.0000001,4*2.220446049250313E-16*MAX(1,ABS(F168),ABS(B168*(1+$B$28)+C168))*100),(INT(MAX(0,F168-(B168*(1+$B$28)+C168))*100)+0.5),MAX(0,F168-(B168*(1+$B$28)+C168))*100),0)/100))</f>
      </c>
      <c r="I168" s="0">
        <f>IF($B$22&lt;&gt;"Ready","",IF($B$6+18&gt;=$B$8,"",IF(I167&lt;&gt;"",I167,IF(H168&gt;0,A168+1,""))))</f>
      </c>
    </row>
    <row r="169" ht="15" customHeight="1">
      <c r="A169" s="0">
        <f>IF($B$22&lt;&gt;"Ready","",IF($B$6+19&gt;=$B$8,"",$B$6+19))</f>
      </c>
      <c r="B169" s="3">
        <f>IF($B$22&lt;&gt;"Ready","",IF($B$6+19&gt;=$B$8,"",G168))</f>
      </c>
      <c r="C169" s="3">
        <f>IF($B$22&lt;&gt;"Ready","",IF($B$6+19&gt;=$B$8,"",IF(A169&lt;$B$7,12*($B$10+$B$11),0)))</f>
      </c>
      <c r="D169" s="3">
        <f>IF($B$22&lt;&gt;"Ready","",IF($B$6+19&gt;=$B$8,"",IF(A169&lt;$B$7,0,12*(IF($B$13&gt;0,IF(A169&gt;=$B$14,$B$13,0),0)+IF($B$15&gt;0,IF(A169&gt;=$B$16,$B$15,0),0)))))</f>
      </c>
      <c r="E169" s="3">
        <f>IF($B$22&lt;&gt;"Ready","",IF($B$6+19&gt;=$B$8,"",IF(A169&lt;$B$7,0,12*$B$12)))</f>
      </c>
      <c r="F169" s="3">
        <f>IF($B$22&lt;&gt;"Ready","",IF($B$6+19&gt;=$B$8,"",MAX(0,E169-D169)))</f>
      </c>
      <c r="G169" s="3">
        <f>IF($B$22&lt;&gt;"Ready","",IF($B$6+19&gt;=$B$8,"",MAX(0,B169*(1+$B$28)+C169-F169)))</f>
      </c>
      <c r="H169" s="3">
        <f>IF($B$22&lt;&gt;"Ready","",IF($B$6+19&gt;=$B$8,"",ROUND(IF(ABS((MAX(0,F169-(B169*(1+$B$28)+C169))*100)-(INT(MAX(0,F169-(B169*(1+$B$28)+C169))*100)+0.5))&lt;=MIN(0.0000001,4*2.220446049250313E-16*MAX(1,ABS(F169),ABS(B169*(1+$B$28)+C169))*100),(INT(MAX(0,F169-(B169*(1+$B$28)+C169))*100)+0.5),MAX(0,F169-(B169*(1+$B$28)+C169))*100),0)/100))</f>
      </c>
      <c r="I169" s="0">
        <f>IF($B$22&lt;&gt;"Ready","",IF($B$6+19&gt;=$B$8,"",IF(I168&lt;&gt;"",I168,IF(H169&gt;0,A169+1,""))))</f>
      </c>
    </row>
    <row r="170" ht="15" customHeight="1">
      <c r="A170" s="0">
        <f>IF($B$22&lt;&gt;"Ready","",IF($B$6+20&gt;=$B$8,"",$B$6+20))</f>
      </c>
      <c r="B170" s="3">
        <f>IF($B$22&lt;&gt;"Ready","",IF($B$6+20&gt;=$B$8,"",G169))</f>
      </c>
      <c r="C170" s="3">
        <f>IF($B$22&lt;&gt;"Ready","",IF($B$6+20&gt;=$B$8,"",IF(A170&lt;$B$7,12*($B$10+$B$11),0)))</f>
      </c>
      <c r="D170" s="3">
        <f>IF($B$22&lt;&gt;"Ready","",IF($B$6+20&gt;=$B$8,"",IF(A170&lt;$B$7,0,12*(IF($B$13&gt;0,IF(A170&gt;=$B$14,$B$13,0),0)+IF($B$15&gt;0,IF(A170&gt;=$B$16,$B$15,0),0)))))</f>
      </c>
      <c r="E170" s="3">
        <f>IF($B$22&lt;&gt;"Ready","",IF($B$6+20&gt;=$B$8,"",IF(A170&lt;$B$7,0,12*$B$12)))</f>
      </c>
      <c r="F170" s="3">
        <f>IF($B$22&lt;&gt;"Ready","",IF($B$6+20&gt;=$B$8,"",MAX(0,E170-D170)))</f>
      </c>
      <c r="G170" s="3">
        <f>IF($B$22&lt;&gt;"Ready","",IF($B$6+20&gt;=$B$8,"",MAX(0,B170*(1+$B$28)+C170-F170)))</f>
      </c>
      <c r="H170" s="3">
        <f>IF($B$22&lt;&gt;"Ready","",IF($B$6+20&gt;=$B$8,"",ROUND(IF(ABS((MAX(0,F170-(B170*(1+$B$28)+C170))*100)-(INT(MAX(0,F170-(B170*(1+$B$28)+C170))*100)+0.5))&lt;=MIN(0.0000001,4*2.220446049250313E-16*MAX(1,ABS(F170),ABS(B170*(1+$B$28)+C170))*100),(INT(MAX(0,F170-(B170*(1+$B$28)+C170))*100)+0.5),MAX(0,F170-(B170*(1+$B$28)+C170))*100),0)/100))</f>
      </c>
      <c r="I170" s="0">
        <f>IF($B$22&lt;&gt;"Ready","",IF($B$6+20&gt;=$B$8,"",IF(I169&lt;&gt;"",I169,IF(H170&gt;0,A170+1,""))))</f>
      </c>
    </row>
    <row r="171" ht="15" customHeight="1">
      <c r="A171" s="0">
        <f>IF($B$22&lt;&gt;"Ready","",IF($B$6+21&gt;=$B$8,"",$B$6+21))</f>
      </c>
      <c r="B171" s="3">
        <f>IF($B$22&lt;&gt;"Ready","",IF($B$6+21&gt;=$B$8,"",G170))</f>
      </c>
      <c r="C171" s="3">
        <f>IF($B$22&lt;&gt;"Ready","",IF($B$6+21&gt;=$B$8,"",IF(A171&lt;$B$7,12*($B$10+$B$11),0)))</f>
      </c>
      <c r="D171" s="3">
        <f>IF($B$22&lt;&gt;"Ready","",IF($B$6+21&gt;=$B$8,"",IF(A171&lt;$B$7,0,12*(IF($B$13&gt;0,IF(A171&gt;=$B$14,$B$13,0),0)+IF($B$15&gt;0,IF(A171&gt;=$B$16,$B$15,0),0)))))</f>
      </c>
      <c r="E171" s="3">
        <f>IF($B$22&lt;&gt;"Ready","",IF($B$6+21&gt;=$B$8,"",IF(A171&lt;$B$7,0,12*$B$12)))</f>
      </c>
      <c r="F171" s="3">
        <f>IF($B$22&lt;&gt;"Ready","",IF($B$6+21&gt;=$B$8,"",MAX(0,E171-D171)))</f>
      </c>
      <c r="G171" s="3">
        <f>IF($B$22&lt;&gt;"Ready","",IF($B$6+21&gt;=$B$8,"",MAX(0,B171*(1+$B$28)+C171-F171)))</f>
      </c>
      <c r="H171" s="3">
        <f>IF($B$22&lt;&gt;"Ready","",IF($B$6+21&gt;=$B$8,"",ROUND(IF(ABS((MAX(0,F171-(B171*(1+$B$28)+C171))*100)-(INT(MAX(0,F171-(B171*(1+$B$28)+C171))*100)+0.5))&lt;=MIN(0.0000001,4*2.220446049250313E-16*MAX(1,ABS(F171),ABS(B171*(1+$B$28)+C171))*100),(INT(MAX(0,F171-(B171*(1+$B$28)+C171))*100)+0.5),MAX(0,F171-(B171*(1+$B$28)+C171))*100),0)/100))</f>
      </c>
      <c r="I171" s="0">
        <f>IF($B$22&lt;&gt;"Ready","",IF($B$6+21&gt;=$B$8,"",IF(I170&lt;&gt;"",I170,IF(H171&gt;0,A171+1,""))))</f>
      </c>
    </row>
    <row r="172" ht="15" customHeight="1">
      <c r="A172" s="0">
        <f>IF($B$22&lt;&gt;"Ready","",IF($B$6+22&gt;=$B$8,"",$B$6+22))</f>
      </c>
      <c r="B172" s="3">
        <f>IF($B$22&lt;&gt;"Ready","",IF($B$6+22&gt;=$B$8,"",G171))</f>
      </c>
      <c r="C172" s="3">
        <f>IF($B$22&lt;&gt;"Ready","",IF($B$6+22&gt;=$B$8,"",IF(A172&lt;$B$7,12*($B$10+$B$11),0)))</f>
      </c>
      <c r="D172" s="3">
        <f>IF($B$22&lt;&gt;"Ready","",IF($B$6+22&gt;=$B$8,"",IF(A172&lt;$B$7,0,12*(IF($B$13&gt;0,IF(A172&gt;=$B$14,$B$13,0),0)+IF($B$15&gt;0,IF(A172&gt;=$B$16,$B$15,0),0)))))</f>
      </c>
      <c r="E172" s="3">
        <f>IF($B$22&lt;&gt;"Ready","",IF($B$6+22&gt;=$B$8,"",IF(A172&lt;$B$7,0,12*$B$12)))</f>
      </c>
      <c r="F172" s="3">
        <f>IF($B$22&lt;&gt;"Ready","",IF($B$6+22&gt;=$B$8,"",MAX(0,E172-D172)))</f>
      </c>
      <c r="G172" s="3">
        <f>IF($B$22&lt;&gt;"Ready","",IF($B$6+22&gt;=$B$8,"",MAX(0,B172*(1+$B$28)+C172-F172)))</f>
      </c>
      <c r="H172" s="3">
        <f>IF($B$22&lt;&gt;"Ready","",IF($B$6+22&gt;=$B$8,"",ROUND(IF(ABS((MAX(0,F172-(B172*(1+$B$28)+C172))*100)-(INT(MAX(0,F172-(B172*(1+$B$28)+C172))*100)+0.5))&lt;=MIN(0.0000001,4*2.220446049250313E-16*MAX(1,ABS(F172),ABS(B172*(1+$B$28)+C172))*100),(INT(MAX(0,F172-(B172*(1+$B$28)+C172))*100)+0.5),MAX(0,F172-(B172*(1+$B$28)+C172))*100),0)/100))</f>
      </c>
      <c r="I172" s="0">
        <f>IF($B$22&lt;&gt;"Ready","",IF($B$6+22&gt;=$B$8,"",IF(I171&lt;&gt;"",I171,IF(H172&gt;0,A172+1,""))))</f>
      </c>
    </row>
    <row r="173" ht="15" customHeight="1">
      <c r="A173" s="0">
        <f>IF($B$22&lt;&gt;"Ready","",IF($B$6+23&gt;=$B$8,"",$B$6+23))</f>
      </c>
      <c r="B173" s="3">
        <f>IF($B$22&lt;&gt;"Ready","",IF($B$6+23&gt;=$B$8,"",G172))</f>
      </c>
      <c r="C173" s="3">
        <f>IF($B$22&lt;&gt;"Ready","",IF($B$6+23&gt;=$B$8,"",IF(A173&lt;$B$7,12*($B$10+$B$11),0)))</f>
      </c>
      <c r="D173" s="3">
        <f>IF($B$22&lt;&gt;"Ready","",IF($B$6+23&gt;=$B$8,"",IF(A173&lt;$B$7,0,12*(IF($B$13&gt;0,IF(A173&gt;=$B$14,$B$13,0),0)+IF($B$15&gt;0,IF(A173&gt;=$B$16,$B$15,0),0)))))</f>
      </c>
      <c r="E173" s="3">
        <f>IF($B$22&lt;&gt;"Ready","",IF($B$6+23&gt;=$B$8,"",IF(A173&lt;$B$7,0,12*$B$12)))</f>
      </c>
      <c r="F173" s="3">
        <f>IF($B$22&lt;&gt;"Ready","",IF($B$6+23&gt;=$B$8,"",MAX(0,E173-D173)))</f>
      </c>
      <c r="G173" s="3">
        <f>IF($B$22&lt;&gt;"Ready","",IF($B$6+23&gt;=$B$8,"",MAX(0,B173*(1+$B$28)+C173-F173)))</f>
      </c>
      <c r="H173" s="3">
        <f>IF($B$22&lt;&gt;"Ready","",IF($B$6+23&gt;=$B$8,"",ROUND(IF(ABS((MAX(0,F173-(B173*(1+$B$28)+C173))*100)-(INT(MAX(0,F173-(B173*(1+$B$28)+C173))*100)+0.5))&lt;=MIN(0.0000001,4*2.220446049250313E-16*MAX(1,ABS(F173),ABS(B173*(1+$B$28)+C173))*100),(INT(MAX(0,F173-(B173*(1+$B$28)+C173))*100)+0.5),MAX(0,F173-(B173*(1+$B$28)+C173))*100),0)/100))</f>
      </c>
      <c r="I173" s="0">
        <f>IF($B$22&lt;&gt;"Ready","",IF($B$6+23&gt;=$B$8,"",IF(I172&lt;&gt;"",I172,IF(H173&gt;0,A173+1,""))))</f>
      </c>
    </row>
    <row r="174" ht="15" customHeight="1">
      <c r="A174" s="0">
        <f>IF($B$22&lt;&gt;"Ready","",IF($B$6+24&gt;=$B$8,"",$B$6+24))</f>
      </c>
      <c r="B174" s="3">
        <f>IF($B$22&lt;&gt;"Ready","",IF($B$6+24&gt;=$B$8,"",G173))</f>
      </c>
      <c r="C174" s="3">
        <f>IF($B$22&lt;&gt;"Ready","",IF($B$6+24&gt;=$B$8,"",IF(A174&lt;$B$7,12*($B$10+$B$11),0)))</f>
      </c>
      <c r="D174" s="3">
        <f>IF($B$22&lt;&gt;"Ready","",IF($B$6+24&gt;=$B$8,"",IF(A174&lt;$B$7,0,12*(IF($B$13&gt;0,IF(A174&gt;=$B$14,$B$13,0),0)+IF($B$15&gt;0,IF(A174&gt;=$B$16,$B$15,0),0)))))</f>
      </c>
      <c r="E174" s="3">
        <f>IF($B$22&lt;&gt;"Ready","",IF($B$6+24&gt;=$B$8,"",IF(A174&lt;$B$7,0,12*$B$12)))</f>
      </c>
      <c r="F174" s="3">
        <f>IF($B$22&lt;&gt;"Ready","",IF($B$6+24&gt;=$B$8,"",MAX(0,E174-D174)))</f>
      </c>
      <c r="G174" s="3">
        <f>IF($B$22&lt;&gt;"Ready","",IF($B$6+24&gt;=$B$8,"",MAX(0,B174*(1+$B$28)+C174-F174)))</f>
      </c>
      <c r="H174" s="3">
        <f>IF($B$22&lt;&gt;"Ready","",IF($B$6+24&gt;=$B$8,"",ROUND(IF(ABS((MAX(0,F174-(B174*(1+$B$28)+C174))*100)-(INT(MAX(0,F174-(B174*(1+$B$28)+C174))*100)+0.5))&lt;=MIN(0.0000001,4*2.220446049250313E-16*MAX(1,ABS(F174),ABS(B174*(1+$B$28)+C174))*100),(INT(MAX(0,F174-(B174*(1+$B$28)+C174))*100)+0.5),MAX(0,F174-(B174*(1+$B$28)+C174))*100),0)/100))</f>
      </c>
      <c r="I174" s="0">
        <f>IF($B$22&lt;&gt;"Ready","",IF($B$6+24&gt;=$B$8,"",IF(I173&lt;&gt;"",I173,IF(H174&gt;0,A174+1,""))))</f>
      </c>
    </row>
    <row r="175" ht="15" customHeight="1">
      <c r="A175" s="0">
        <f>IF($B$22&lt;&gt;"Ready","",IF($B$6+25&gt;=$B$8,"",$B$6+25))</f>
      </c>
      <c r="B175" s="3">
        <f>IF($B$22&lt;&gt;"Ready","",IF($B$6+25&gt;=$B$8,"",G174))</f>
      </c>
      <c r="C175" s="3">
        <f>IF($B$22&lt;&gt;"Ready","",IF($B$6+25&gt;=$B$8,"",IF(A175&lt;$B$7,12*($B$10+$B$11),0)))</f>
      </c>
      <c r="D175" s="3">
        <f>IF($B$22&lt;&gt;"Ready","",IF($B$6+25&gt;=$B$8,"",IF(A175&lt;$B$7,0,12*(IF($B$13&gt;0,IF(A175&gt;=$B$14,$B$13,0),0)+IF($B$15&gt;0,IF(A175&gt;=$B$16,$B$15,0),0)))))</f>
      </c>
      <c r="E175" s="3">
        <f>IF($B$22&lt;&gt;"Ready","",IF($B$6+25&gt;=$B$8,"",IF(A175&lt;$B$7,0,12*$B$12)))</f>
      </c>
      <c r="F175" s="3">
        <f>IF($B$22&lt;&gt;"Ready","",IF($B$6+25&gt;=$B$8,"",MAX(0,E175-D175)))</f>
      </c>
      <c r="G175" s="3">
        <f>IF($B$22&lt;&gt;"Ready","",IF($B$6+25&gt;=$B$8,"",MAX(0,B175*(1+$B$28)+C175-F175)))</f>
      </c>
      <c r="H175" s="3">
        <f>IF($B$22&lt;&gt;"Ready","",IF($B$6+25&gt;=$B$8,"",ROUND(IF(ABS((MAX(0,F175-(B175*(1+$B$28)+C175))*100)-(INT(MAX(0,F175-(B175*(1+$B$28)+C175))*100)+0.5))&lt;=MIN(0.0000001,4*2.220446049250313E-16*MAX(1,ABS(F175),ABS(B175*(1+$B$28)+C175))*100),(INT(MAX(0,F175-(B175*(1+$B$28)+C175))*100)+0.5),MAX(0,F175-(B175*(1+$B$28)+C175))*100),0)/100))</f>
      </c>
      <c r="I175" s="0">
        <f>IF($B$22&lt;&gt;"Ready","",IF($B$6+25&gt;=$B$8,"",IF(I174&lt;&gt;"",I174,IF(H175&gt;0,A175+1,""))))</f>
      </c>
    </row>
    <row r="176" ht="15" customHeight="1">
      <c r="A176" s="0">
        <f>IF($B$22&lt;&gt;"Ready","",IF($B$6+26&gt;=$B$8,"",$B$6+26))</f>
      </c>
      <c r="B176" s="3">
        <f>IF($B$22&lt;&gt;"Ready","",IF($B$6+26&gt;=$B$8,"",G175))</f>
      </c>
      <c r="C176" s="3">
        <f>IF($B$22&lt;&gt;"Ready","",IF($B$6+26&gt;=$B$8,"",IF(A176&lt;$B$7,12*($B$10+$B$11),0)))</f>
      </c>
      <c r="D176" s="3">
        <f>IF($B$22&lt;&gt;"Ready","",IF($B$6+26&gt;=$B$8,"",IF(A176&lt;$B$7,0,12*(IF($B$13&gt;0,IF(A176&gt;=$B$14,$B$13,0),0)+IF($B$15&gt;0,IF(A176&gt;=$B$16,$B$15,0),0)))))</f>
      </c>
      <c r="E176" s="3">
        <f>IF($B$22&lt;&gt;"Ready","",IF($B$6+26&gt;=$B$8,"",IF(A176&lt;$B$7,0,12*$B$12)))</f>
      </c>
      <c r="F176" s="3">
        <f>IF($B$22&lt;&gt;"Ready","",IF($B$6+26&gt;=$B$8,"",MAX(0,E176-D176)))</f>
      </c>
      <c r="G176" s="3">
        <f>IF($B$22&lt;&gt;"Ready","",IF($B$6+26&gt;=$B$8,"",MAX(0,B176*(1+$B$28)+C176-F176)))</f>
      </c>
      <c r="H176" s="3">
        <f>IF($B$22&lt;&gt;"Ready","",IF($B$6+26&gt;=$B$8,"",ROUND(IF(ABS((MAX(0,F176-(B176*(1+$B$28)+C176))*100)-(INT(MAX(0,F176-(B176*(1+$B$28)+C176))*100)+0.5))&lt;=MIN(0.0000001,4*2.220446049250313E-16*MAX(1,ABS(F176),ABS(B176*(1+$B$28)+C176))*100),(INT(MAX(0,F176-(B176*(1+$B$28)+C176))*100)+0.5),MAX(0,F176-(B176*(1+$B$28)+C176))*100),0)/100))</f>
      </c>
      <c r="I176" s="0">
        <f>IF($B$22&lt;&gt;"Ready","",IF($B$6+26&gt;=$B$8,"",IF(I175&lt;&gt;"",I175,IF(H176&gt;0,A176+1,""))))</f>
      </c>
    </row>
    <row r="177" ht="15" customHeight="1">
      <c r="A177" s="0">
        <f>IF($B$22&lt;&gt;"Ready","",IF($B$6+27&gt;=$B$8,"",$B$6+27))</f>
      </c>
      <c r="B177" s="3">
        <f>IF($B$22&lt;&gt;"Ready","",IF($B$6+27&gt;=$B$8,"",G176))</f>
      </c>
      <c r="C177" s="3">
        <f>IF($B$22&lt;&gt;"Ready","",IF($B$6+27&gt;=$B$8,"",IF(A177&lt;$B$7,12*($B$10+$B$11),0)))</f>
      </c>
      <c r="D177" s="3">
        <f>IF($B$22&lt;&gt;"Ready","",IF($B$6+27&gt;=$B$8,"",IF(A177&lt;$B$7,0,12*(IF($B$13&gt;0,IF(A177&gt;=$B$14,$B$13,0),0)+IF($B$15&gt;0,IF(A177&gt;=$B$16,$B$15,0),0)))))</f>
      </c>
      <c r="E177" s="3">
        <f>IF($B$22&lt;&gt;"Ready","",IF($B$6+27&gt;=$B$8,"",IF(A177&lt;$B$7,0,12*$B$12)))</f>
      </c>
      <c r="F177" s="3">
        <f>IF($B$22&lt;&gt;"Ready","",IF($B$6+27&gt;=$B$8,"",MAX(0,E177-D177)))</f>
      </c>
      <c r="G177" s="3">
        <f>IF($B$22&lt;&gt;"Ready","",IF($B$6+27&gt;=$B$8,"",MAX(0,B177*(1+$B$28)+C177-F177)))</f>
      </c>
      <c r="H177" s="3">
        <f>IF($B$22&lt;&gt;"Ready","",IF($B$6+27&gt;=$B$8,"",ROUND(IF(ABS((MAX(0,F177-(B177*(1+$B$28)+C177))*100)-(INT(MAX(0,F177-(B177*(1+$B$28)+C177))*100)+0.5))&lt;=MIN(0.0000001,4*2.220446049250313E-16*MAX(1,ABS(F177),ABS(B177*(1+$B$28)+C177))*100),(INT(MAX(0,F177-(B177*(1+$B$28)+C177))*100)+0.5),MAX(0,F177-(B177*(1+$B$28)+C177))*100),0)/100))</f>
      </c>
      <c r="I177" s="0">
        <f>IF($B$22&lt;&gt;"Ready","",IF($B$6+27&gt;=$B$8,"",IF(I176&lt;&gt;"",I176,IF(H177&gt;0,A177+1,""))))</f>
      </c>
    </row>
    <row r="178" ht="15" customHeight="1">
      <c r="A178" s="0">
        <f>IF($B$22&lt;&gt;"Ready","",IF($B$6+28&gt;=$B$8,"",$B$6+28))</f>
      </c>
      <c r="B178" s="3">
        <f>IF($B$22&lt;&gt;"Ready","",IF($B$6+28&gt;=$B$8,"",G177))</f>
      </c>
      <c r="C178" s="3">
        <f>IF($B$22&lt;&gt;"Ready","",IF($B$6+28&gt;=$B$8,"",IF(A178&lt;$B$7,12*($B$10+$B$11),0)))</f>
      </c>
      <c r="D178" s="3">
        <f>IF($B$22&lt;&gt;"Ready","",IF($B$6+28&gt;=$B$8,"",IF(A178&lt;$B$7,0,12*(IF($B$13&gt;0,IF(A178&gt;=$B$14,$B$13,0),0)+IF($B$15&gt;0,IF(A178&gt;=$B$16,$B$15,0),0)))))</f>
      </c>
      <c r="E178" s="3">
        <f>IF($B$22&lt;&gt;"Ready","",IF($B$6+28&gt;=$B$8,"",IF(A178&lt;$B$7,0,12*$B$12)))</f>
      </c>
      <c r="F178" s="3">
        <f>IF($B$22&lt;&gt;"Ready","",IF($B$6+28&gt;=$B$8,"",MAX(0,E178-D178)))</f>
      </c>
      <c r="G178" s="3">
        <f>IF($B$22&lt;&gt;"Ready","",IF($B$6+28&gt;=$B$8,"",MAX(0,B178*(1+$B$28)+C178-F178)))</f>
      </c>
      <c r="H178" s="3">
        <f>IF($B$22&lt;&gt;"Ready","",IF($B$6+28&gt;=$B$8,"",ROUND(IF(ABS((MAX(0,F178-(B178*(1+$B$28)+C178))*100)-(INT(MAX(0,F178-(B178*(1+$B$28)+C178))*100)+0.5))&lt;=MIN(0.0000001,4*2.220446049250313E-16*MAX(1,ABS(F178),ABS(B178*(1+$B$28)+C178))*100),(INT(MAX(0,F178-(B178*(1+$B$28)+C178))*100)+0.5),MAX(0,F178-(B178*(1+$B$28)+C178))*100),0)/100))</f>
      </c>
      <c r="I178" s="0">
        <f>IF($B$22&lt;&gt;"Ready","",IF($B$6+28&gt;=$B$8,"",IF(I177&lt;&gt;"",I177,IF(H178&gt;0,A178+1,""))))</f>
      </c>
    </row>
    <row r="179" ht="15" customHeight="1">
      <c r="A179" s="0">
        <f>IF($B$22&lt;&gt;"Ready","",IF($B$6+29&gt;=$B$8,"",$B$6+29))</f>
      </c>
      <c r="B179" s="3">
        <f>IF($B$22&lt;&gt;"Ready","",IF($B$6+29&gt;=$B$8,"",G178))</f>
      </c>
      <c r="C179" s="3">
        <f>IF($B$22&lt;&gt;"Ready","",IF($B$6+29&gt;=$B$8,"",IF(A179&lt;$B$7,12*($B$10+$B$11),0)))</f>
      </c>
      <c r="D179" s="3">
        <f>IF($B$22&lt;&gt;"Ready","",IF($B$6+29&gt;=$B$8,"",IF(A179&lt;$B$7,0,12*(IF($B$13&gt;0,IF(A179&gt;=$B$14,$B$13,0),0)+IF($B$15&gt;0,IF(A179&gt;=$B$16,$B$15,0),0)))))</f>
      </c>
      <c r="E179" s="3">
        <f>IF($B$22&lt;&gt;"Ready","",IF($B$6+29&gt;=$B$8,"",IF(A179&lt;$B$7,0,12*$B$12)))</f>
      </c>
      <c r="F179" s="3">
        <f>IF($B$22&lt;&gt;"Ready","",IF($B$6+29&gt;=$B$8,"",MAX(0,E179-D179)))</f>
      </c>
      <c r="G179" s="3">
        <f>IF($B$22&lt;&gt;"Ready","",IF($B$6+29&gt;=$B$8,"",MAX(0,B179*(1+$B$28)+C179-F179)))</f>
      </c>
      <c r="H179" s="3">
        <f>IF($B$22&lt;&gt;"Ready","",IF($B$6+29&gt;=$B$8,"",ROUND(IF(ABS((MAX(0,F179-(B179*(1+$B$28)+C179))*100)-(INT(MAX(0,F179-(B179*(1+$B$28)+C179))*100)+0.5))&lt;=MIN(0.0000001,4*2.220446049250313E-16*MAX(1,ABS(F179),ABS(B179*(1+$B$28)+C179))*100),(INT(MAX(0,F179-(B179*(1+$B$28)+C179))*100)+0.5),MAX(0,F179-(B179*(1+$B$28)+C179))*100),0)/100))</f>
      </c>
      <c r="I179" s="0">
        <f>IF($B$22&lt;&gt;"Ready","",IF($B$6+29&gt;=$B$8,"",IF(I178&lt;&gt;"",I178,IF(H179&gt;0,A179+1,""))))</f>
      </c>
    </row>
    <row r="180" ht="15" customHeight="1">
      <c r="A180" s="0">
        <f>IF($B$22&lt;&gt;"Ready","",IF($B$6+30&gt;=$B$8,"",$B$6+30))</f>
      </c>
      <c r="B180" s="3">
        <f>IF($B$22&lt;&gt;"Ready","",IF($B$6+30&gt;=$B$8,"",G179))</f>
      </c>
      <c r="C180" s="3">
        <f>IF($B$22&lt;&gt;"Ready","",IF($B$6+30&gt;=$B$8,"",IF(A180&lt;$B$7,12*($B$10+$B$11),0)))</f>
      </c>
      <c r="D180" s="3">
        <f>IF($B$22&lt;&gt;"Ready","",IF($B$6+30&gt;=$B$8,"",IF(A180&lt;$B$7,0,12*(IF($B$13&gt;0,IF(A180&gt;=$B$14,$B$13,0),0)+IF($B$15&gt;0,IF(A180&gt;=$B$16,$B$15,0),0)))))</f>
      </c>
      <c r="E180" s="3">
        <f>IF($B$22&lt;&gt;"Ready","",IF($B$6+30&gt;=$B$8,"",IF(A180&lt;$B$7,0,12*$B$12)))</f>
      </c>
      <c r="F180" s="3">
        <f>IF($B$22&lt;&gt;"Ready","",IF($B$6+30&gt;=$B$8,"",MAX(0,E180-D180)))</f>
      </c>
      <c r="G180" s="3">
        <f>IF($B$22&lt;&gt;"Ready","",IF($B$6+30&gt;=$B$8,"",MAX(0,B180*(1+$B$28)+C180-F180)))</f>
      </c>
      <c r="H180" s="3">
        <f>IF($B$22&lt;&gt;"Ready","",IF($B$6+30&gt;=$B$8,"",ROUND(IF(ABS((MAX(0,F180-(B180*(1+$B$28)+C180))*100)-(INT(MAX(0,F180-(B180*(1+$B$28)+C180))*100)+0.5))&lt;=MIN(0.0000001,4*2.220446049250313E-16*MAX(1,ABS(F180),ABS(B180*(1+$B$28)+C180))*100),(INT(MAX(0,F180-(B180*(1+$B$28)+C180))*100)+0.5),MAX(0,F180-(B180*(1+$B$28)+C180))*100),0)/100))</f>
      </c>
      <c r="I180" s="0">
        <f>IF($B$22&lt;&gt;"Ready","",IF($B$6+30&gt;=$B$8,"",IF(I179&lt;&gt;"",I179,IF(H180&gt;0,A180+1,""))))</f>
      </c>
    </row>
    <row r="181" ht="15" customHeight="1">
      <c r="A181" s="0">
        <f>IF($B$22&lt;&gt;"Ready","",IF($B$6+31&gt;=$B$8,"",$B$6+31))</f>
      </c>
      <c r="B181" s="3">
        <f>IF($B$22&lt;&gt;"Ready","",IF($B$6+31&gt;=$B$8,"",G180))</f>
      </c>
      <c r="C181" s="3">
        <f>IF($B$22&lt;&gt;"Ready","",IF($B$6+31&gt;=$B$8,"",IF(A181&lt;$B$7,12*($B$10+$B$11),0)))</f>
      </c>
      <c r="D181" s="3">
        <f>IF($B$22&lt;&gt;"Ready","",IF($B$6+31&gt;=$B$8,"",IF(A181&lt;$B$7,0,12*(IF($B$13&gt;0,IF(A181&gt;=$B$14,$B$13,0),0)+IF($B$15&gt;0,IF(A181&gt;=$B$16,$B$15,0),0)))))</f>
      </c>
      <c r="E181" s="3">
        <f>IF($B$22&lt;&gt;"Ready","",IF($B$6+31&gt;=$B$8,"",IF(A181&lt;$B$7,0,12*$B$12)))</f>
      </c>
      <c r="F181" s="3">
        <f>IF($B$22&lt;&gt;"Ready","",IF($B$6+31&gt;=$B$8,"",MAX(0,E181-D181)))</f>
      </c>
      <c r="G181" s="3">
        <f>IF($B$22&lt;&gt;"Ready","",IF($B$6+31&gt;=$B$8,"",MAX(0,B181*(1+$B$28)+C181-F181)))</f>
      </c>
      <c r="H181" s="3">
        <f>IF($B$22&lt;&gt;"Ready","",IF($B$6+31&gt;=$B$8,"",ROUND(IF(ABS((MAX(0,F181-(B181*(1+$B$28)+C181))*100)-(INT(MAX(0,F181-(B181*(1+$B$28)+C181))*100)+0.5))&lt;=MIN(0.0000001,4*2.220446049250313E-16*MAX(1,ABS(F181),ABS(B181*(1+$B$28)+C181))*100),(INT(MAX(0,F181-(B181*(1+$B$28)+C181))*100)+0.5),MAX(0,F181-(B181*(1+$B$28)+C181))*100),0)/100))</f>
      </c>
      <c r="I181" s="0">
        <f>IF($B$22&lt;&gt;"Ready","",IF($B$6+31&gt;=$B$8,"",IF(I180&lt;&gt;"",I180,IF(H181&gt;0,A181+1,""))))</f>
      </c>
    </row>
    <row r="182" ht="15" customHeight="1">
      <c r="A182" s="0">
        <f>IF($B$22&lt;&gt;"Ready","",IF($B$6+32&gt;=$B$8,"",$B$6+32))</f>
      </c>
      <c r="B182" s="3">
        <f>IF($B$22&lt;&gt;"Ready","",IF($B$6+32&gt;=$B$8,"",G181))</f>
      </c>
      <c r="C182" s="3">
        <f>IF($B$22&lt;&gt;"Ready","",IF($B$6+32&gt;=$B$8,"",IF(A182&lt;$B$7,12*($B$10+$B$11),0)))</f>
      </c>
      <c r="D182" s="3">
        <f>IF($B$22&lt;&gt;"Ready","",IF($B$6+32&gt;=$B$8,"",IF(A182&lt;$B$7,0,12*(IF($B$13&gt;0,IF(A182&gt;=$B$14,$B$13,0),0)+IF($B$15&gt;0,IF(A182&gt;=$B$16,$B$15,0),0)))))</f>
      </c>
      <c r="E182" s="3">
        <f>IF($B$22&lt;&gt;"Ready","",IF($B$6+32&gt;=$B$8,"",IF(A182&lt;$B$7,0,12*$B$12)))</f>
      </c>
      <c r="F182" s="3">
        <f>IF($B$22&lt;&gt;"Ready","",IF($B$6+32&gt;=$B$8,"",MAX(0,E182-D182)))</f>
      </c>
      <c r="G182" s="3">
        <f>IF($B$22&lt;&gt;"Ready","",IF($B$6+32&gt;=$B$8,"",MAX(0,B182*(1+$B$28)+C182-F182)))</f>
      </c>
      <c r="H182" s="3">
        <f>IF($B$22&lt;&gt;"Ready","",IF($B$6+32&gt;=$B$8,"",ROUND(IF(ABS((MAX(0,F182-(B182*(1+$B$28)+C182))*100)-(INT(MAX(0,F182-(B182*(1+$B$28)+C182))*100)+0.5))&lt;=MIN(0.0000001,4*2.220446049250313E-16*MAX(1,ABS(F182),ABS(B182*(1+$B$28)+C182))*100),(INT(MAX(0,F182-(B182*(1+$B$28)+C182))*100)+0.5),MAX(0,F182-(B182*(1+$B$28)+C182))*100),0)/100))</f>
      </c>
      <c r="I182" s="0">
        <f>IF($B$22&lt;&gt;"Ready","",IF($B$6+32&gt;=$B$8,"",IF(I181&lt;&gt;"",I181,IF(H182&gt;0,A182+1,""))))</f>
      </c>
    </row>
    <row r="183" ht="15" customHeight="1">
      <c r="A183" s="0">
        <f>IF($B$22&lt;&gt;"Ready","",IF($B$6+33&gt;=$B$8,"",$B$6+33))</f>
      </c>
      <c r="B183" s="3">
        <f>IF($B$22&lt;&gt;"Ready","",IF($B$6+33&gt;=$B$8,"",G182))</f>
      </c>
      <c r="C183" s="3">
        <f>IF($B$22&lt;&gt;"Ready","",IF($B$6+33&gt;=$B$8,"",IF(A183&lt;$B$7,12*($B$10+$B$11),0)))</f>
      </c>
      <c r="D183" s="3">
        <f>IF($B$22&lt;&gt;"Ready","",IF($B$6+33&gt;=$B$8,"",IF(A183&lt;$B$7,0,12*(IF($B$13&gt;0,IF(A183&gt;=$B$14,$B$13,0),0)+IF($B$15&gt;0,IF(A183&gt;=$B$16,$B$15,0),0)))))</f>
      </c>
      <c r="E183" s="3">
        <f>IF($B$22&lt;&gt;"Ready","",IF($B$6+33&gt;=$B$8,"",IF(A183&lt;$B$7,0,12*$B$12)))</f>
      </c>
      <c r="F183" s="3">
        <f>IF($B$22&lt;&gt;"Ready","",IF($B$6+33&gt;=$B$8,"",MAX(0,E183-D183)))</f>
      </c>
      <c r="G183" s="3">
        <f>IF($B$22&lt;&gt;"Ready","",IF($B$6+33&gt;=$B$8,"",MAX(0,B183*(1+$B$28)+C183-F183)))</f>
      </c>
      <c r="H183" s="3">
        <f>IF($B$22&lt;&gt;"Ready","",IF($B$6+33&gt;=$B$8,"",ROUND(IF(ABS((MAX(0,F183-(B183*(1+$B$28)+C183))*100)-(INT(MAX(0,F183-(B183*(1+$B$28)+C183))*100)+0.5))&lt;=MIN(0.0000001,4*2.220446049250313E-16*MAX(1,ABS(F183),ABS(B183*(1+$B$28)+C183))*100),(INT(MAX(0,F183-(B183*(1+$B$28)+C183))*100)+0.5),MAX(0,F183-(B183*(1+$B$28)+C183))*100),0)/100))</f>
      </c>
      <c r="I183" s="0">
        <f>IF($B$22&lt;&gt;"Ready","",IF($B$6+33&gt;=$B$8,"",IF(I182&lt;&gt;"",I182,IF(H183&gt;0,A183+1,""))))</f>
      </c>
    </row>
    <row r="184" ht="15" customHeight="1">
      <c r="A184" s="0">
        <f>IF($B$22&lt;&gt;"Ready","",IF($B$6+34&gt;=$B$8,"",$B$6+34))</f>
      </c>
      <c r="B184" s="3">
        <f>IF($B$22&lt;&gt;"Ready","",IF($B$6+34&gt;=$B$8,"",G183))</f>
      </c>
      <c r="C184" s="3">
        <f>IF($B$22&lt;&gt;"Ready","",IF($B$6+34&gt;=$B$8,"",IF(A184&lt;$B$7,12*($B$10+$B$11),0)))</f>
      </c>
      <c r="D184" s="3">
        <f>IF($B$22&lt;&gt;"Ready","",IF($B$6+34&gt;=$B$8,"",IF(A184&lt;$B$7,0,12*(IF($B$13&gt;0,IF(A184&gt;=$B$14,$B$13,0),0)+IF($B$15&gt;0,IF(A184&gt;=$B$16,$B$15,0),0)))))</f>
      </c>
      <c r="E184" s="3">
        <f>IF($B$22&lt;&gt;"Ready","",IF($B$6+34&gt;=$B$8,"",IF(A184&lt;$B$7,0,12*$B$12)))</f>
      </c>
      <c r="F184" s="3">
        <f>IF($B$22&lt;&gt;"Ready","",IF($B$6+34&gt;=$B$8,"",MAX(0,E184-D184)))</f>
      </c>
      <c r="G184" s="3">
        <f>IF($B$22&lt;&gt;"Ready","",IF($B$6+34&gt;=$B$8,"",MAX(0,B184*(1+$B$28)+C184-F184)))</f>
      </c>
      <c r="H184" s="3">
        <f>IF($B$22&lt;&gt;"Ready","",IF($B$6+34&gt;=$B$8,"",ROUND(IF(ABS((MAX(0,F184-(B184*(1+$B$28)+C184))*100)-(INT(MAX(0,F184-(B184*(1+$B$28)+C184))*100)+0.5))&lt;=MIN(0.0000001,4*2.220446049250313E-16*MAX(1,ABS(F184),ABS(B184*(1+$B$28)+C184))*100),(INT(MAX(0,F184-(B184*(1+$B$28)+C184))*100)+0.5),MAX(0,F184-(B184*(1+$B$28)+C184))*100),0)/100))</f>
      </c>
      <c r="I184" s="0">
        <f>IF($B$22&lt;&gt;"Ready","",IF($B$6+34&gt;=$B$8,"",IF(I183&lt;&gt;"",I183,IF(H184&gt;0,A184+1,""))))</f>
      </c>
    </row>
    <row r="185" ht="15" customHeight="1">
      <c r="A185" s="0">
        <f>IF($B$22&lt;&gt;"Ready","",IF($B$6+35&gt;=$B$8,"",$B$6+35))</f>
      </c>
      <c r="B185" s="3">
        <f>IF($B$22&lt;&gt;"Ready","",IF($B$6+35&gt;=$B$8,"",G184))</f>
      </c>
      <c r="C185" s="3">
        <f>IF($B$22&lt;&gt;"Ready","",IF($B$6+35&gt;=$B$8,"",IF(A185&lt;$B$7,12*($B$10+$B$11),0)))</f>
      </c>
      <c r="D185" s="3">
        <f>IF($B$22&lt;&gt;"Ready","",IF($B$6+35&gt;=$B$8,"",IF(A185&lt;$B$7,0,12*(IF($B$13&gt;0,IF(A185&gt;=$B$14,$B$13,0),0)+IF($B$15&gt;0,IF(A185&gt;=$B$16,$B$15,0),0)))))</f>
      </c>
      <c r="E185" s="3">
        <f>IF($B$22&lt;&gt;"Ready","",IF($B$6+35&gt;=$B$8,"",IF(A185&lt;$B$7,0,12*$B$12)))</f>
      </c>
      <c r="F185" s="3">
        <f>IF($B$22&lt;&gt;"Ready","",IF($B$6+35&gt;=$B$8,"",MAX(0,E185-D185)))</f>
      </c>
      <c r="G185" s="3">
        <f>IF($B$22&lt;&gt;"Ready","",IF($B$6+35&gt;=$B$8,"",MAX(0,B185*(1+$B$28)+C185-F185)))</f>
      </c>
      <c r="H185" s="3">
        <f>IF($B$22&lt;&gt;"Ready","",IF($B$6+35&gt;=$B$8,"",ROUND(IF(ABS((MAX(0,F185-(B185*(1+$B$28)+C185))*100)-(INT(MAX(0,F185-(B185*(1+$B$28)+C185))*100)+0.5))&lt;=MIN(0.0000001,4*2.220446049250313E-16*MAX(1,ABS(F185),ABS(B185*(1+$B$28)+C185))*100),(INT(MAX(0,F185-(B185*(1+$B$28)+C185))*100)+0.5),MAX(0,F185-(B185*(1+$B$28)+C185))*100),0)/100))</f>
      </c>
      <c r="I185" s="0">
        <f>IF($B$22&lt;&gt;"Ready","",IF($B$6+35&gt;=$B$8,"",IF(I184&lt;&gt;"",I184,IF(H185&gt;0,A185+1,""))))</f>
      </c>
    </row>
    <row r="186" ht="15" customHeight="1">
      <c r="A186" s="0">
        <f>IF($B$22&lt;&gt;"Ready","",IF($B$6+36&gt;=$B$8,"",$B$6+36))</f>
      </c>
      <c r="B186" s="3">
        <f>IF($B$22&lt;&gt;"Ready","",IF($B$6+36&gt;=$B$8,"",G185))</f>
      </c>
      <c r="C186" s="3">
        <f>IF($B$22&lt;&gt;"Ready","",IF($B$6+36&gt;=$B$8,"",IF(A186&lt;$B$7,12*($B$10+$B$11),0)))</f>
      </c>
      <c r="D186" s="3">
        <f>IF($B$22&lt;&gt;"Ready","",IF($B$6+36&gt;=$B$8,"",IF(A186&lt;$B$7,0,12*(IF($B$13&gt;0,IF(A186&gt;=$B$14,$B$13,0),0)+IF($B$15&gt;0,IF(A186&gt;=$B$16,$B$15,0),0)))))</f>
      </c>
      <c r="E186" s="3">
        <f>IF($B$22&lt;&gt;"Ready","",IF($B$6+36&gt;=$B$8,"",IF(A186&lt;$B$7,0,12*$B$12)))</f>
      </c>
      <c r="F186" s="3">
        <f>IF($B$22&lt;&gt;"Ready","",IF($B$6+36&gt;=$B$8,"",MAX(0,E186-D186)))</f>
      </c>
      <c r="G186" s="3">
        <f>IF($B$22&lt;&gt;"Ready","",IF($B$6+36&gt;=$B$8,"",MAX(0,B186*(1+$B$28)+C186-F186)))</f>
      </c>
      <c r="H186" s="3">
        <f>IF($B$22&lt;&gt;"Ready","",IF($B$6+36&gt;=$B$8,"",ROUND(IF(ABS((MAX(0,F186-(B186*(1+$B$28)+C186))*100)-(INT(MAX(0,F186-(B186*(1+$B$28)+C186))*100)+0.5))&lt;=MIN(0.0000001,4*2.220446049250313E-16*MAX(1,ABS(F186),ABS(B186*(1+$B$28)+C186))*100),(INT(MAX(0,F186-(B186*(1+$B$28)+C186))*100)+0.5),MAX(0,F186-(B186*(1+$B$28)+C186))*100),0)/100))</f>
      </c>
      <c r="I186" s="0">
        <f>IF($B$22&lt;&gt;"Ready","",IF($B$6+36&gt;=$B$8,"",IF(I185&lt;&gt;"",I185,IF(H186&gt;0,A186+1,""))))</f>
      </c>
    </row>
    <row r="187" ht="15" customHeight="1">
      <c r="A187" s="0">
        <f>IF($B$22&lt;&gt;"Ready","",IF($B$6+37&gt;=$B$8,"",$B$6+37))</f>
      </c>
      <c r="B187" s="3">
        <f>IF($B$22&lt;&gt;"Ready","",IF($B$6+37&gt;=$B$8,"",G186))</f>
      </c>
      <c r="C187" s="3">
        <f>IF($B$22&lt;&gt;"Ready","",IF($B$6+37&gt;=$B$8,"",IF(A187&lt;$B$7,12*($B$10+$B$11),0)))</f>
      </c>
      <c r="D187" s="3">
        <f>IF($B$22&lt;&gt;"Ready","",IF($B$6+37&gt;=$B$8,"",IF(A187&lt;$B$7,0,12*(IF($B$13&gt;0,IF(A187&gt;=$B$14,$B$13,0),0)+IF($B$15&gt;0,IF(A187&gt;=$B$16,$B$15,0),0)))))</f>
      </c>
      <c r="E187" s="3">
        <f>IF($B$22&lt;&gt;"Ready","",IF($B$6+37&gt;=$B$8,"",IF(A187&lt;$B$7,0,12*$B$12)))</f>
      </c>
      <c r="F187" s="3">
        <f>IF($B$22&lt;&gt;"Ready","",IF($B$6+37&gt;=$B$8,"",MAX(0,E187-D187)))</f>
      </c>
      <c r="G187" s="3">
        <f>IF($B$22&lt;&gt;"Ready","",IF($B$6+37&gt;=$B$8,"",MAX(0,B187*(1+$B$28)+C187-F187)))</f>
      </c>
      <c r="H187" s="3">
        <f>IF($B$22&lt;&gt;"Ready","",IF($B$6+37&gt;=$B$8,"",ROUND(IF(ABS((MAX(0,F187-(B187*(1+$B$28)+C187))*100)-(INT(MAX(0,F187-(B187*(1+$B$28)+C187))*100)+0.5))&lt;=MIN(0.0000001,4*2.220446049250313E-16*MAX(1,ABS(F187),ABS(B187*(1+$B$28)+C187))*100),(INT(MAX(0,F187-(B187*(1+$B$28)+C187))*100)+0.5),MAX(0,F187-(B187*(1+$B$28)+C187))*100),0)/100))</f>
      </c>
      <c r="I187" s="0">
        <f>IF($B$22&lt;&gt;"Ready","",IF($B$6+37&gt;=$B$8,"",IF(I186&lt;&gt;"",I186,IF(H187&gt;0,A187+1,""))))</f>
      </c>
    </row>
    <row r="188" ht="15" customHeight="1">
      <c r="A188" s="0">
        <f>IF($B$22&lt;&gt;"Ready","",IF($B$6+38&gt;=$B$8,"",$B$6+38))</f>
      </c>
      <c r="B188" s="3">
        <f>IF($B$22&lt;&gt;"Ready","",IF($B$6+38&gt;=$B$8,"",G187))</f>
      </c>
      <c r="C188" s="3">
        <f>IF($B$22&lt;&gt;"Ready","",IF($B$6+38&gt;=$B$8,"",IF(A188&lt;$B$7,12*($B$10+$B$11),0)))</f>
      </c>
      <c r="D188" s="3">
        <f>IF($B$22&lt;&gt;"Ready","",IF($B$6+38&gt;=$B$8,"",IF(A188&lt;$B$7,0,12*(IF($B$13&gt;0,IF(A188&gt;=$B$14,$B$13,0),0)+IF($B$15&gt;0,IF(A188&gt;=$B$16,$B$15,0),0)))))</f>
      </c>
      <c r="E188" s="3">
        <f>IF($B$22&lt;&gt;"Ready","",IF($B$6+38&gt;=$B$8,"",IF(A188&lt;$B$7,0,12*$B$12)))</f>
      </c>
      <c r="F188" s="3">
        <f>IF($B$22&lt;&gt;"Ready","",IF($B$6+38&gt;=$B$8,"",MAX(0,E188-D188)))</f>
      </c>
      <c r="G188" s="3">
        <f>IF($B$22&lt;&gt;"Ready","",IF($B$6+38&gt;=$B$8,"",MAX(0,B188*(1+$B$28)+C188-F188)))</f>
      </c>
      <c r="H188" s="3">
        <f>IF($B$22&lt;&gt;"Ready","",IF($B$6+38&gt;=$B$8,"",ROUND(IF(ABS((MAX(0,F188-(B188*(1+$B$28)+C188))*100)-(INT(MAX(0,F188-(B188*(1+$B$28)+C188))*100)+0.5))&lt;=MIN(0.0000001,4*2.220446049250313E-16*MAX(1,ABS(F188),ABS(B188*(1+$B$28)+C188))*100),(INT(MAX(0,F188-(B188*(1+$B$28)+C188))*100)+0.5),MAX(0,F188-(B188*(1+$B$28)+C188))*100),0)/100))</f>
      </c>
      <c r="I188" s="0">
        <f>IF($B$22&lt;&gt;"Ready","",IF($B$6+38&gt;=$B$8,"",IF(I187&lt;&gt;"",I187,IF(H188&gt;0,A188+1,""))))</f>
      </c>
    </row>
    <row r="189" ht="15" customHeight="1">
      <c r="A189" s="0">
        <f>IF($B$22&lt;&gt;"Ready","",IF($B$6+39&gt;=$B$8,"",$B$6+39))</f>
      </c>
      <c r="B189" s="3">
        <f>IF($B$22&lt;&gt;"Ready","",IF($B$6+39&gt;=$B$8,"",G188))</f>
      </c>
      <c r="C189" s="3">
        <f>IF($B$22&lt;&gt;"Ready","",IF($B$6+39&gt;=$B$8,"",IF(A189&lt;$B$7,12*($B$10+$B$11),0)))</f>
      </c>
      <c r="D189" s="3">
        <f>IF($B$22&lt;&gt;"Ready","",IF($B$6+39&gt;=$B$8,"",IF(A189&lt;$B$7,0,12*(IF($B$13&gt;0,IF(A189&gt;=$B$14,$B$13,0),0)+IF($B$15&gt;0,IF(A189&gt;=$B$16,$B$15,0),0)))))</f>
      </c>
      <c r="E189" s="3">
        <f>IF($B$22&lt;&gt;"Ready","",IF($B$6+39&gt;=$B$8,"",IF(A189&lt;$B$7,0,12*$B$12)))</f>
      </c>
      <c r="F189" s="3">
        <f>IF($B$22&lt;&gt;"Ready","",IF($B$6+39&gt;=$B$8,"",MAX(0,E189-D189)))</f>
      </c>
      <c r="G189" s="3">
        <f>IF($B$22&lt;&gt;"Ready","",IF($B$6+39&gt;=$B$8,"",MAX(0,B189*(1+$B$28)+C189-F189)))</f>
      </c>
      <c r="H189" s="3">
        <f>IF($B$22&lt;&gt;"Ready","",IF($B$6+39&gt;=$B$8,"",ROUND(IF(ABS((MAX(0,F189-(B189*(1+$B$28)+C189))*100)-(INT(MAX(0,F189-(B189*(1+$B$28)+C189))*100)+0.5))&lt;=MIN(0.0000001,4*2.220446049250313E-16*MAX(1,ABS(F189),ABS(B189*(1+$B$28)+C189))*100),(INT(MAX(0,F189-(B189*(1+$B$28)+C189))*100)+0.5),MAX(0,F189-(B189*(1+$B$28)+C189))*100),0)/100))</f>
      </c>
      <c r="I189" s="0">
        <f>IF($B$22&lt;&gt;"Ready","",IF($B$6+39&gt;=$B$8,"",IF(I188&lt;&gt;"",I188,IF(H189&gt;0,A189+1,""))))</f>
      </c>
    </row>
    <row r="190" ht="15" customHeight="1">
      <c r="A190" s="0">
        <f>IF($B$22&lt;&gt;"Ready","",IF($B$6+40&gt;=$B$8,"",$B$6+40))</f>
      </c>
      <c r="B190" s="3">
        <f>IF($B$22&lt;&gt;"Ready","",IF($B$6+40&gt;=$B$8,"",G189))</f>
      </c>
      <c r="C190" s="3">
        <f>IF($B$22&lt;&gt;"Ready","",IF($B$6+40&gt;=$B$8,"",IF(A190&lt;$B$7,12*($B$10+$B$11),0)))</f>
      </c>
      <c r="D190" s="3">
        <f>IF($B$22&lt;&gt;"Ready","",IF($B$6+40&gt;=$B$8,"",IF(A190&lt;$B$7,0,12*(IF($B$13&gt;0,IF(A190&gt;=$B$14,$B$13,0),0)+IF($B$15&gt;0,IF(A190&gt;=$B$16,$B$15,0),0)))))</f>
      </c>
      <c r="E190" s="3">
        <f>IF($B$22&lt;&gt;"Ready","",IF($B$6+40&gt;=$B$8,"",IF(A190&lt;$B$7,0,12*$B$12)))</f>
      </c>
      <c r="F190" s="3">
        <f>IF($B$22&lt;&gt;"Ready","",IF($B$6+40&gt;=$B$8,"",MAX(0,E190-D190)))</f>
      </c>
      <c r="G190" s="3">
        <f>IF($B$22&lt;&gt;"Ready","",IF($B$6+40&gt;=$B$8,"",MAX(0,B190*(1+$B$28)+C190-F190)))</f>
      </c>
      <c r="H190" s="3">
        <f>IF($B$22&lt;&gt;"Ready","",IF($B$6+40&gt;=$B$8,"",ROUND(IF(ABS((MAX(0,F190-(B190*(1+$B$28)+C190))*100)-(INT(MAX(0,F190-(B190*(1+$B$28)+C190))*100)+0.5))&lt;=MIN(0.0000001,4*2.220446049250313E-16*MAX(1,ABS(F190),ABS(B190*(1+$B$28)+C190))*100),(INT(MAX(0,F190-(B190*(1+$B$28)+C190))*100)+0.5),MAX(0,F190-(B190*(1+$B$28)+C190))*100),0)/100))</f>
      </c>
      <c r="I190" s="0">
        <f>IF($B$22&lt;&gt;"Ready","",IF($B$6+40&gt;=$B$8,"",IF(I189&lt;&gt;"",I189,IF(H190&gt;0,A190+1,""))))</f>
      </c>
    </row>
    <row r="191" ht="15" customHeight="1">
      <c r="A191" s="0">
        <f>IF($B$22&lt;&gt;"Ready","",IF($B$6+41&gt;=$B$8,"",$B$6+41))</f>
      </c>
      <c r="B191" s="3">
        <f>IF($B$22&lt;&gt;"Ready","",IF($B$6+41&gt;=$B$8,"",G190))</f>
      </c>
      <c r="C191" s="3">
        <f>IF($B$22&lt;&gt;"Ready","",IF($B$6+41&gt;=$B$8,"",IF(A191&lt;$B$7,12*($B$10+$B$11),0)))</f>
      </c>
      <c r="D191" s="3">
        <f>IF($B$22&lt;&gt;"Ready","",IF($B$6+41&gt;=$B$8,"",IF(A191&lt;$B$7,0,12*(IF($B$13&gt;0,IF(A191&gt;=$B$14,$B$13,0),0)+IF($B$15&gt;0,IF(A191&gt;=$B$16,$B$15,0),0)))))</f>
      </c>
      <c r="E191" s="3">
        <f>IF($B$22&lt;&gt;"Ready","",IF($B$6+41&gt;=$B$8,"",IF(A191&lt;$B$7,0,12*$B$12)))</f>
      </c>
      <c r="F191" s="3">
        <f>IF($B$22&lt;&gt;"Ready","",IF($B$6+41&gt;=$B$8,"",MAX(0,E191-D191)))</f>
      </c>
      <c r="G191" s="3">
        <f>IF($B$22&lt;&gt;"Ready","",IF($B$6+41&gt;=$B$8,"",MAX(0,B191*(1+$B$28)+C191-F191)))</f>
      </c>
      <c r="H191" s="3">
        <f>IF($B$22&lt;&gt;"Ready","",IF($B$6+41&gt;=$B$8,"",ROUND(IF(ABS((MAX(0,F191-(B191*(1+$B$28)+C191))*100)-(INT(MAX(0,F191-(B191*(1+$B$28)+C191))*100)+0.5))&lt;=MIN(0.0000001,4*2.220446049250313E-16*MAX(1,ABS(F191),ABS(B191*(1+$B$28)+C191))*100),(INT(MAX(0,F191-(B191*(1+$B$28)+C191))*100)+0.5),MAX(0,F191-(B191*(1+$B$28)+C191))*100),0)/100))</f>
      </c>
      <c r="I191" s="0">
        <f>IF($B$22&lt;&gt;"Ready","",IF($B$6+41&gt;=$B$8,"",IF(I190&lt;&gt;"",I190,IF(H191&gt;0,A191+1,""))))</f>
      </c>
    </row>
    <row r="192" ht="15" customHeight="1">
      <c r="A192" s="0">
        <f>IF($B$22&lt;&gt;"Ready","",IF($B$6+42&gt;=$B$8,"",$B$6+42))</f>
      </c>
      <c r="B192" s="3">
        <f>IF($B$22&lt;&gt;"Ready","",IF($B$6+42&gt;=$B$8,"",G191))</f>
      </c>
      <c r="C192" s="3">
        <f>IF($B$22&lt;&gt;"Ready","",IF($B$6+42&gt;=$B$8,"",IF(A192&lt;$B$7,12*($B$10+$B$11),0)))</f>
      </c>
      <c r="D192" s="3">
        <f>IF($B$22&lt;&gt;"Ready","",IF($B$6+42&gt;=$B$8,"",IF(A192&lt;$B$7,0,12*(IF($B$13&gt;0,IF(A192&gt;=$B$14,$B$13,0),0)+IF($B$15&gt;0,IF(A192&gt;=$B$16,$B$15,0),0)))))</f>
      </c>
      <c r="E192" s="3">
        <f>IF($B$22&lt;&gt;"Ready","",IF($B$6+42&gt;=$B$8,"",IF(A192&lt;$B$7,0,12*$B$12)))</f>
      </c>
      <c r="F192" s="3">
        <f>IF($B$22&lt;&gt;"Ready","",IF($B$6+42&gt;=$B$8,"",MAX(0,E192-D192)))</f>
      </c>
      <c r="G192" s="3">
        <f>IF($B$22&lt;&gt;"Ready","",IF($B$6+42&gt;=$B$8,"",MAX(0,B192*(1+$B$28)+C192-F192)))</f>
      </c>
      <c r="H192" s="3">
        <f>IF($B$22&lt;&gt;"Ready","",IF($B$6+42&gt;=$B$8,"",ROUND(IF(ABS((MAX(0,F192-(B192*(1+$B$28)+C192))*100)-(INT(MAX(0,F192-(B192*(1+$B$28)+C192))*100)+0.5))&lt;=MIN(0.0000001,4*2.220446049250313E-16*MAX(1,ABS(F192),ABS(B192*(1+$B$28)+C192))*100),(INT(MAX(0,F192-(B192*(1+$B$28)+C192))*100)+0.5),MAX(0,F192-(B192*(1+$B$28)+C192))*100),0)/100))</f>
      </c>
      <c r="I192" s="0">
        <f>IF($B$22&lt;&gt;"Ready","",IF($B$6+42&gt;=$B$8,"",IF(I191&lt;&gt;"",I191,IF(H192&gt;0,A192+1,""))))</f>
      </c>
    </row>
    <row r="193" ht="15" customHeight="1">
      <c r="A193" s="0">
        <f>IF($B$22&lt;&gt;"Ready","",IF($B$6+43&gt;=$B$8,"",$B$6+43))</f>
      </c>
      <c r="B193" s="3">
        <f>IF($B$22&lt;&gt;"Ready","",IF($B$6+43&gt;=$B$8,"",G192))</f>
      </c>
      <c r="C193" s="3">
        <f>IF($B$22&lt;&gt;"Ready","",IF($B$6+43&gt;=$B$8,"",IF(A193&lt;$B$7,12*($B$10+$B$11),0)))</f>
      </c>
      <c r="D193" s="3">
        <f>IF($B$22&lt;&gt;"Ready","",IF($B$6+43&gt;=$B$8,"",IF(A193&lt;$B$7,0,12*(IF($B$13&gt;0,IF(A193&gt;=$B$14,$B$13,0),0)+IF($B$15&gt;0,IF(A193&gt;=$B$16,$B$15,0),0)))))</f>
      </c>
      <c r="E193" s="3">
        <f>IF($B$22&lt;&gt;"Ready","",IF($B$6+43&gt;=$B$8,"",IF(A193&lt;$B$7,0,12*$B$12)))</f>
      </c>
      <c r="F193" s="3">
        <f>IF($B$22&lt;&gt;"Ready","",IF($B$6+43&gt;=$B$8,"",MAX(0,E193-D193)))</f>
      </c>
      <c r="G193" s="3">
        <f>IF($B$22&lt;&gt;"Ready","",IF($B$6+43&gt;=$B$8,"",MAX(0,B193*(1+$B$28)+C193-F193)))</f>
      </c>
      <c r="H193" s="3">
        <f>IF($B$22&lt;&gt;"Ready","",IF($B$6+43&gt;=$B$8,"",ROUND(IF(ABS((MAX(0,F193-(B193*(1+$B$28)+C193))*100)-(INT(MAX(0,F193-(B193*(1+$B$28)+C193))*100)+0.5))&lt;=MIN(0.0000001,4*2.220446049250313E-16*MAX(1,ABS(F193),ABS(B193*(1+$B$28)+C193))*100),(INT(MAX(0,F193-(B193*(1+$B$28)+C193))*100)+0.5),MAX(0,F193-(B193*(1+$B$28)+C193))*100),0)/100))</f>
      </c>
      <c r="I193" s="0">
        <f>IF($B$22&lt;&gt;"Ready","",IF($B$6+43&gt;=$B$8,"",IF(I192&lt;&gt;"",I192,IF(H193&gt;0,A193+1,""))))</f>
      </c>
    </row>
    <row r="194" ht="15" customHeight="1">
      <c r="A194" s="0">
        <f>IF($B$22&lt;&gt;"Ready","",IF($B$6+44&gt;=$B$8,"",$B$6+44))</f>
      </c>
      <c r="B194" s="3">
        <f>IF($B$22&lt;&gt;"Ready","",IF($B$6+44&gt;=$B$8,"",G193))</f>
      </c>
      <c r="C194" s="3">
        <f>IF($B$22&lt;&gt;"Ready","",IF($B$6+44&gt;=$B$8,"",IF(A194&lt;$B$7,12*($B$10+$B$11),0)))</f>
      </c>
      <c r="D194" s="3">
        <f>IF($B$22&lt;&gt;"Ready","",IF($B$6+44&gt;=$B$8,"",IF(A194&lt;$B$7,0,12*(IF($B$13&gt;0,IF(A194&gt;=$B$14,$B$13,0),0)+IF($B$15&gt;0,IF(A194&gt;=$B$16,$B$15,0),0)))))</f>
      </c>
      <c r="E194" s="3">
        <f>IF($B$22&lt;&gt;"Ready","",IF($B$6+44&gt;=$B$8,"",IF(A194&lt;$B$7,0,12*$B$12)))</f>
      </c>
      <c r="F194" s="3">
        <f>IF($B$22&lt;&gt;"Ready","",IF($B$6+44&gt;=$B$8,"",MAX(0,E194-D194)))</f>
      </c>
      <c r="G194" s="3">
        <f>IF($B$22&lt;&gt;"Ready","",IF($B$6+44&gt;=$B$8,"",MAX(0,B194*(1+$B$28)+C194-F194)))</f>
      </c>
      <c r="H194" s="3">
        <f>IF($B$22&lt;&gt;"Ready","",IF($B$6+44&gt;=$B$8,"",ROUND(IF(ABS((MAX(0,F194-(B194*(1+$B$28)+C194))*100)-(INT(MAX(0,F194-(B194*(1+$B$28)+C194))*100)+0.5))&lt;=MIN(0.0000001,4*2.220446049250313E-16*MAX(1,ABS(F194),ABS(B194*(1+$B$28)+C194))*100),(INT(MAX(0,F194-(B194*(1+$B$28)+C194))*100)+0.5),MAX(0,F194-(B194*(1+$B$28)+C194))*100),0)/100))</f>
      </c>
      <c r="I194" s="0">
        <f>IF($B$22&lt;&gt;"Ready","",IF($B$6+44&gt;=$B$8,"",IF(I193&lt;&gt;"",I193,IF(H194&gt;0,A194+1,""))))</f>
      </c>
    </row>
    <row r="195" ht="15" customHeight="1">
      <c r="A195" s="0">
        <f>IF($B$22&lt;&gt;"Ready","",IF($B$6+45&gt;=$B$8,"",$B$6+45))</f>
      </c>
      <c r="B195" s="3">
        <f>IF($B$22&lt;&gt;"Ready","",IF($B$6+45&gt;=$B$8,"",G194))</f>
      </c>
      <c r="C195" s="3">
        <f>IF($B$22&lt;&gt;"Ready","",IF($B$6+45&gt;=$B$8,"",IF(A195&lt;$B$7,12*($B$10+$B$11),0)))</f>
      </c>
      <c r="D195" s="3">
        <f>IF($B$22&lt;&gt;"Ready","",IF($B$6+45&gt;=$B$8,"",IF(A195&lt;$B$7,0,12*(IF($B$13&gt;0,IF(A195&gt;=$B$14,$B$13,0),0)+IF($B$15&gt;0,IF(A195&gt;=$B$16,$B$15,0),0)))))</f>
      </c>
      <c r="E195" s="3">
        <f>IF($B$22&lt;&gt;"Ready","",IF($B$6+45&gt;=$B$8,"",IF(A195&lt;$B$7,0,12*$B$12)))</f>
      </c>
      <c r="F195" s="3">
        <f>IF($B$22&lt;&gt;"Ready","",IF($B$6+45&gt;=$B$8,"",MAX(0,E195-D195)))</f>
      </c>
      <c r="G195" s="3">
        <f>IF($B$22&lt;&gt;"Ready","",IF($B$6+45&gt;=$B$8,"",MAX(0,B195*(1+$B$28)+C195-F195)))</f>
      </c>
      <c r="H195" s="3">
        <f>IF($B$22&lt;&gt;"Ready","",IF($B$6+45&gt;=$B$8,"",ROUND(IF(ABS((MAX(0,F195-(B195*(1+$B$28)+C195))*100)-(INT(MAX(0,F195-(B195*(1+$B$28)+C195))*100)+0.5))&lt;=MIN(0.0000001,4*2.220446049250313E-16*MAX(1,ABS(F195),ABS(B195*(1+$B$28)+C195))*100),(INT(MAX(0,F195-(B195*(1+$B$28)+C195))*100)+0.5),MAX(0,F195-(B195*(1+$B$28)+C195))*100),0)/100))</f>
      </c>
      <c r="I195" s="0">
        <f>IF($B$22&lt;&gt;"Ready","",IF($B$6+45&gt;=$B$8,"",IF(I194&lt;&gt;"",I194,IF(H195&gt;0,A195+1,""))))</f>
      </c>
    </row>
    <row r="196" ht="15" customHeight="1">
      <c r="A196" s="0">
        <f>IF($B$22&lt;&gt;"Ready","",IF($B$6+46&gt;=$B$8,"",$B$6+46))</f>
      </c>
      <c r="B196" s="3">
        <f>IF($B$22&lt;&gt;"Ready","",IF($B$6+46&gt;=$B$8,"",G195))</f>
      </c>
      <c r="C196" s="3">
        <f>IF($B$22&lt;&gt;"Ready","",IF($B$6+46&gt;=$B$8,"",IF(A196&lt;$B$7,12*($B$10+$B$11),0)))</f>
      </c>
      <c r="D196" s="3">
        <f>IF($B$22&lt;&gt;"Ready","",IF($B$6+46&gt;=$B$8,"",IF(A196&lt;$B$7,0,12*(IF($B$13&gt;0,IF(A196&gt;=$B$14,$B$13,0),0)+IF($B$15&gt;0,IF(A196&gt;=$B$16,$B$15,0),0)))))</f>
      </c>
      <c r="E196" s="3">
        <f>IF($B$22&lt;&gt;"Ready","",IF($B$6+46&gt;=$B$8,"",IF(A196&lt;$B$7,0,12*$B$12)))</f>
      </c>
      <c r="F196" s="3">
        <f>IF($B$22&lt;&gt;"Ready","",IF($B$6+46&gt;=$B$8,"",MAX(0,E196-D196)))</f>
      </c>
      <c r="G196" s="3">
        <f>IF($B$22&lt;&gt;"Ready","",IF($B$6+46&gt;=$B$8,"",MAX(0,B196*(1+$B$28)+C196-F196)))</f>
      </c>
      <c r="H196" s="3">
        <f>IF($B$22&lt;&gt;"Ready","",IF($B$6+46&gt;=$B$8,"",ROUND(IF(ABS((MAX(0,F196-(B196*(1+$B$28)+C196))*100)-(INT(MAX(0,F196-(B196*(1+$B$28)+C196))*100)+0.5))&lt;=MIN(0.0000001,4*2.220446049250313E-16*MAX(1,ABS(F196),ABS(B196*(1+$B$28)+C196))*100),(INT(MAX(0,F196-(B196*(1+$B$28)+C196))*100)+0.5),MAX(0,F196-(B196*(1+$B$28)+C196))*100),0)/100))</f>
      </c>
      <c r="I196" s="0">
        <f>IF($B$22&lt;&gt;"Ready","",IF($B$6+46&gt;=$B$8,"",IF(I195&lt;&gt;"",I195,IF(H196&gt;0,A196+1,""))))</f>
      </c>
    </row>
    <row r="197" ht="15" customHeight="1">
      <c r="A197" s="0">
        <f>IF($B$22&lt;&gt;"Ready","",IF($B$6+47&gt;=$B$8,"",$B$6+47))</f>
      </c>
      <c r="B197" s="3">
        <f>IF($B$22&lt;&gt;"Ready","",IF($B$6+47&gt;=$B$8,"",G196))</f>
      </c>
      <c r="C197" s="3">
        <f>IF($B$22&lt;&gt;"Ready","",IF($B$6+47&gt;=$B$8,"",IF(A197&lt;$B$7,12*($B$10+$B$11),0)))</f>
      </c>
      <c r="D197" s="3">
        <f>IF($B$22&lt;&gt;"Ready","",IF($B$6+47&gt;=$B$8,"",IF(A197&lt;$B$7,0,12*(IF($B$13&gt;0,IF(A197&gt;=$B$14,$B$13,0),0)+IF($B$15&gt;0,IF(A197&gt;=$B$16,$B$15,0),0)))))</f>
      </c>
      <c r="E197" s="3">
        <f>IF($B$22&lt;&gt;"Ready","",IF($B$6+47&gt;=$B$8,"",IF(A197&lt;$B$7,0,12*$B$12)))</f>
      </c>
      <c r="F197" s="3">
        <f>IF($B$22&lt;&gt;"Ready","",IF($B$6+47&gt;=$B$8,"",MAX(0,E197-D197)))</f>
      </c>
      <c r="G197" s="3">
        <f>IF($B$22&lt;&gt;"Ready","",IF($B$6+47&gt;=$B$8,"",MAX(0,B197*(1+$B$28)+C197-F197)))</f>
      </c>
      <c r="H197" s="3">
        <f>IF($B$22&lt;&gt;"Ready","",IF($B$6+47&gt;=$B$8,"",ROUND(IF(ABS((MAX(0,F197-(B197*(1+$B$28)+C197))*100)-(INT(MAX(0,F197-(B197*(1+$B$28)+C197))*100)+0.5))&lt;=MIN(0.0000001,4*2.220446049250313E-16*MAX(1,ABS(F197),ABS(B197*(1+$B$28)+C197))*100),(INT(MAX(0,F197-(B197*(1+$B$28)+C197))*100)+0.5),MAX(0,F197-(B197*(1+$B$28)+C197))*100),0)/100))</f>
      </c>
      <c r="I197" s="0">
        <f>IF($B$22&lt;&gt;"Ready","",IF($B$6+47&gt;=$B$8,"",IF(I196&lt;&gt;"",I196,IF(H197&gt;0,A197+1,""))))</f>
      </c>
    </row>
    <row r="198" ht="15" customHeight="1">
      <c r="A198" s="0">
        <f>IF($B$22&lt;&gt;"Ready","",IF($B$6+48&gt;=$B$8,"",$B$6+48))</f>
      </c>
      <c r="B198" s="3">
        <f>IF($B$22&lt;&gt;"Ready","",IF($B$6+48&gt;=$B$8,"",G197))</f>
      </c>
      <c r="C198" s="3">
        <f>IF($B$22&lt;&gt;"Ready","",IF($B$6+48&gt;=$B$8,"",IF(A198&lt;$B$7,12*($B$10+$B$11),0)))</f>
      </c>
      <c r="D198" s="3">
        <f>IF($B$22&lt;&gt;"Ready","",IF($B$6+48&gt;=$B$8,"",IF(A198&lt;$B$7,0,12*(IF($B$13&gt;0,IF(A198&gt;=$B$14,$B$13,0),0)+IF($B$15&gt;0,IF(A198&gt;=$B$16,$B$15,0),0)))))</f>
      </c>
      <c r="E198" s="3">
        <f>IF($B$22&lt;&gt;"Ready","",IF($B$6+48&gt;=$B$8,"",IF(A198&lt;$B$7,0,12*$B$12)))</f>
      </c>
      <c r="F198" s="3">
        <f>IF($B$22&lt;&gt;"Ready","",IF($B$6+48&gt;=$B$8,"",MAX(0,E198-D198)))</f>
      </c>
      <c r="G198" s="3">
        <f>IF($B$22&lt;&gt;"Ready","",IF($B$6+48&gt;=$B$8,"",MAX(0,B198*(1+$B$28)+C198-F198)))</f>
      </c>
      <c r="H198" s="3">
        <f>IF($B$22&lt;&gt;"Ready","",IF($B$6+48&gt;=$B$8,"",ROUND(IF(ABS((MAX(0,F198-(B198*(1+$B$28)+C198))*100)-(INT(MAX(0,F198-(B198*(1+$B$28)+C198))*100)+0.5))&lt;=MIN(0.0000001,4*2.220446049250313E-16*MAX(1,ABS(F198),ABS(B198*(1+$B$28)+C198))*100),(INT(MAX(0,F198-(B198*(1+$B$28)+C198))*100)+0.5),MAX(0,F198-(B198*(1+$B$28)+C198))*100),0)/100))</f>
      </c>
      <c r="I198" s="0">
        <f>IF($B$22&lt;&gt;"Ready","",IF($B$6+48&gt;=$B$8,"",IF(I197&lt;&gt;"",I197,IF(H198&gt;0,A198+1,""))))</f>
      </c>
    </row>
    <row r="199" ht="15" customHeight="1">
      <c r="A199" s="0">
        <f>IF($B$22&lt;&gt;"Ready","",IF($B$6+49&gt;=$B$8,"",$B$6+49))</f>
      </c>
      <c r="B199" s="3">
        <f>IF($B$22&lt;&gt;"Ready","",IF($B$6+49&gt;=$B$8,"",G198))</f>
      </c>
      <c r="C199" s="3">
        <f>IF($B$22&lt;&gt;"Ready","",IF($B$6+49&gt;=$B$8,"",IF(A199&lt;$B$7,12*($B$10+$B$11),0)))</f>
      </c>
      <c r="D199" s="3">
        <f>IF($B$22&lt;&gt;"Ready","",IF($B$6+49&gt;=$B$8,"",IF(A199&lt;$B$7,0,12*(IF($B$13&gt;0,IF(A199&gt;=$B$14,$B$13,0),0)+IF($B$15&gt;0,IF(A199&gt;=$B$16,$B$15,0),0)))))</f>
      </c>
      <c r="E199" s="3">
        <f>IF($B$22&lt;&gt;"Ready","",IF($B$6+49&gt;=$B$8,"",IF(A199&lt;$B$7,0,12*$B$12)))</f>
      </c>
      <c r="F199" s="3">
        <f>IF($B$22&lt;&gt;"Ready","",IF($B$6+49&gt;=$B$8,"",MAX(0,E199-D199)))</f>
      </c>
      <c r="G199" s="3">
        <f>IF($B$22&lt;&gt;"Ready","",IF($B$6+49&gt;=$B$8,"",MAX(0,B199*(1+$B$28)+C199-F199)))</f>
      </c>
      <c r="H199" s="3">
        <f>IF($B$22&lt;&gt;"Ready","",IF($B$6+49&gt;=$B$8,"",ROUND(IF(ABS((MAX(0,F199-(B199*(1+$B$28)+C199))*100)-(INT(MAX(0,F199-(B199*(1+$B$28)+C199))*100)+0.5))&lt;=MIN(0.0000001,4*2.220446049250313E-16*MAX(1,ABS(F199),ABS(B199*(1+$B$28)+C199))*100),(INT(MAX(0,F199-(B199*(1+$B$28)+C199))*100)+0.5),MAX(0,F199-(B199*(1+$B$28)+C199))*100),0)/100))</f>
      </c>
      <c r="I199" s="0">
        <f>IF($B$22&lt;&gt;"Ready","",IF($B$6+49&gt;=$B$8,"",IF(I198&lt;&gt;"",I198,IF(H199&gt;0,A199+1,""))))</f>
      </c>
    </row>
    <row r="200" ht="15" customHeight="1">
      <c r="A200" s="0">
        <f>IF($B$22&lt;&gt;"Ready","",IF($B$6+50&gt;=$B$8,"",$B$6+50))</f>
      </c>
      <c r="B200" s="3">
        <f>IF($B$22&lt;&gt;"Ready","",IF($B$6+50&gt;=$B$8,"",G199))</f>
      </c>
      <c r="C200" s="3">
        <f>IF($B$22&lt;&gt;"Ready","",IF($B$6+50&gt;=$B$8,"",IF(A200&lt;$B$7,12*($B$10+$B$11),0)))</f>
      </c>
      <c r="D200" s="3">
        <f>IF($B$22&lt;&gt;"Ready","",IF($B$6+50&gt;=$B$8,"",IF(A200&lt;$B$7,0,12*(IF($B$13&gt;0,IF(A200&gt;=$B$14,$B$13,0),0)+IF($B$15&gt;0,IF(A200&gt;=$B$16,$B$15,0),0)))))</f>
      </c>
      <c r="E200" s="3">
        <f>IF($B$22&lt;&gt;"Ready","",IF($B$6+50&gt;=$B$8,"",IF(A200&lt;$B$7,0,12*$B$12)))</f>
      </c>
      <c r="F200" s="3">
        <f>IF($B$22&lt;&gt;"Ready","",IF($B$6+50&gt;=$B$8,"",MAX(0,E200-D200)))</f>
      </c>
      <c r="G200" s="3">
        <f>IF($B$22&lt;&gt;"Ready","",IF($B$6+50&gt;=$B$8,"",MAX(0,B200*(1+$B$28)+C200-F200)))</f>
      </c>
      <c r="H200" s="3">
        <f>IF($B$22&lt;&gt;"Ready","",IF($B$6+50&gt;=$B$8,"",ROUND(IF(ABS((MAX(0,F200-(B200*(1+$B$28)+C200))*100)-(INT(MAX(0,F200-(B200*(1+$B$28)+C200))*100)+0.5))&lt;=MIN(0.0000001,4*2.220446049250313E-16*MAX(1,ABS(F200),ABS(B200*(1+$B$28)+C200))*100),(INT(MAX(0,F200-(B200*(1+$B$28)+C200))*100)+0.5),MAX(0,F200-(B200*(1+$B$28)+C200))*100),0)/100))</f>
      </c>
      <c r="I200" s="0">
        <f>IF($B$22&lt;&gt;"Ready","",IF($B$6+50&gt;=$B$8,"",IF(I199&lt;&gt;"",I199,IF(H200&gt;0,A200+1,""))))</f>
      </c>
    </row>
    <row r="201" ht="15" customHeight="1">
      <c r="A201" s="0">
        <f>IF($B$22&lt;&gt;"Ready","",IF($B$6+51&gt;=$B$8,"",$B$6+51))</f>
      </c>
      <c r="B201" s="3">
        <f>IF($B$22&lt;&gt;"Ready","",IF($B$6+51&gt;=$B$8,"",G200))</f>
      </c>
      <c r="C201" s="3">
        <f>IF($B$22&lt;&gt;"Ready","",IF($B$6+51&gt;=$B$8,"",IF(A201&lt;$B$7,12*($B$10+$B$11),0)))</f>
      </c>
      <c r="D201" s="3">
        <f>IF($B$22&lt;&gt;"Ready","",IF($B$6+51&gt;=$B$8,"",IF(A201&lt;$B$7,0,12*(IF($B$13&gt;0,IF(A201&gt;=$B$14,$B$13,0),0)+IF($B$15&gt;0,IF(A201&gt;=$B$16,$B$15,0),0)))))</f>
      </c>
      <c r="E201" s="3">
        <f>IF($B$22&lt;&gt;"Ready","",IF($B$6+51&gt;=$B$8,"",IF(A201&lt;$B$7,0,12*$B$12)))</f>
      </c>
      <c r="F201" s="3">
        <f>IF($B$22&lt;&gt;"Ready","",IF($B$6+51&gt;=$B$8,"",MAX(0,E201-D201)))</f>
      </c>
      <c r="G201" s="3">
        <f>IF($B$22&lt;&gt;"Ready","",IF($B$6+51&gt;=$B$8,"",MAX(0,B201*(1+$B$28)+C201-F201)))</f>
      </c>
      <c r="H201" s="3">
        <f>IF($B$22&lt;&gt;"Ready","",IF($B$6+51&gt;=$B$8,"",ROUND(IF(ABS((MAX(0,F201-(B201*(1+$B$28)+C201))*100)-(INT(MAX(0,F201-(B201*(1+$B$28)+C201))*100)+0.5))&lt;=MIN(0.0000001,4*2.220446049250313E-16*MAX(1,ABS(F201),ABS(B201*(1+$B$28)+C201))*100),(INT(MAX(0,F201-(B201*(1+$B$28)+C201))*100)+0.5),MAX(0,F201-(B201*(1+$B$28)+C201))*100),0)/100))</f>
      </c>
      <c r="I201" s="0">
        <f>IF($B$22&lt;&gt;"Ready","",IF($B$6+51&gt;=$B$8,"",IF(I200&lt;&gt;"",I200,IF(H201&gt;0,A201+1,""))))</f>
      </c>
    </row>
    <row r="202" ht="15" customHeight="1">
      <c r="A202" s="0">
        <f>IF($B$22&lt;&gt;"Ready","",IF($B$6+52&gt;=$B$8,"",$B$6+52))</f>
      </c>
      <c r="B202" s="3">
        <f>IF($B$22&lt;&gt;"Ready","",IF($B$6+52&gt;=$B$8,"",G201))</f>
      </c>
      <c r="C202" s="3">
        <f>IF($B$22&lt;&gt;"Ready","",IF($B$6+52&gt;=$B$8,"",IF(A202&lt;$B$7,12*($B$10+$B$11),0)))</f>
      </c>
      <c r="D202" s="3">
        <f>IF($B$22&lt;&gt;"Ready","",IF($B$6+52&gt;=$B$8,"",IF(A202&lt;$B$7,0,12*(IF($B$13&gt;0,IF(A202&gt;=$B$14,$B$13,0),0)+IF($B$15&gt;0,IF(A202&gt;=$B$16,$B$15,0),0)))))</f>
      </c>
      <c r="E202" s="3">
        <f>IF($B$22&lt;&gt;"Ready","",IF($B$6+52&gt;=$B$8,"",IF(A202&lt;$B$7,0,12*$B$12)))</f>
      </c>
      <c r="F202" s="3">
        <f>IF($B$22&lt;&gt;"Ready","",IF($B$6+52&gt;=$B$8,"",MAX(0,E202-D202)))</f>
      </c>
      <c r="G202" s="3">
        <f>IF($B$22&lt;&gt;"Ready","",IF($B$6+52&gt;=$B$8,"",MAX(0,B202*(1+$B$28)+C202-F202)))</f>
      </c>
      <c r="H202" s="3">
        <f>IF($B$22&lt;&gt;"Ready","",IF($B$6+52&gt;=$B$8,"",ROUND(IF(ABS((MAX(0,F202-(B202*(1+$B$28)+C202))*100)-(INT(MAX(0,F202-(B202*(1+$B$28)+C202))*100)+0.5))&lt;=MIN(0.0000001,4*2.220446049250313E-16*MAX(1,ABS(F202),ABS(B202*(1+$B$28)+C202))*100),(INT(MAX(0,F202-(B202*(1+$B$28)+C202))*100)+0.5),MAX(0,F202-(B202*(1+$B$28)+C202))*100),0)/100))</f>
      </c>
      <c r="I202" s="0">
        <f>IF($B$22&lt;&gt;"Ready","",IF($B$6+52&gt;=$B$8,"",IF(I201&lt;&gt;"",I201,IF(H202&gt;0,A202+1,""))))</f>
      </c>
    </row>
    <row r="203" ht="15" customHeight="1">
      <c r="A203" s="0">
        <f>IF($B$22&lt;&gt;"Ready","",IF($B$6+53&gt;=$B$8,"",$B$6+53))</f>
      </c>
      <c r="B203" s="3">
        <f>IF($B$22&lt;&gt;"Ready","",IF($B$6+53&gt;=$B$8,"",G202))</f>
      </c>
      <c r="C203" s="3">
        <f>IF($B$22&lt;&gt;"Ready","",IF($B$6+53&gt;=$B$8,"",IF(A203&lt;$B$7,12*($B$10+$B$11),0)))</f>
      </c>
      <c r="D203" s="3">
        <f>IF($B$22&lt;&gt;"Ready","",IF($B$6+53&gt;=$B$8,"",IF(A203&lt;$B$7,0,12*(IF($B$13&gt;0,IF(A203&gt;=$B$14,$B$13,0),0)+IF($B$15&gt;0,IF(A203&gt;=$B$16,$B$15,0),0)))))</f>
      </c>
      <c r="E203" s="3">
        <f>IF($B$22&lt;&gt;"Ready","",IF($B$6+53&gt;=$B$8,"",IF(A203&lt;$B$7,0,12*$B$12)))</f>
      </c>
      <c r="F203" s="3">
        <f>IF($B$22&lt;&gt;"Ready","",IF($B$6+53&gt;=$B$8,"",MAX(0,E203-D203)))</f>
      </c>
      <c r="G203" s="3">
        <f>IF($B$22&lt;&gt;"Ready","",IF($B$6+53&gt;=$B$8,"",MAX(0,B203*(1+$B$28)+C203-F203)))</f>
      </c>
      <c r="H203" s="3">
        <f>IF($B$22&lt;&gt;"Ready","",IF($B$6+53&gt;=$B$8,"",ROUND(IF(ABS((MAX(0,F203-(B203*(1+$B$28)+C203))*100)-(INT(MAX(0,F203-(B203*(1+$B$28)+C203))*100)+0.5))&lt;=MIN(0.0000001,4*2.220446049250313E-16*MAX(1,ABS(F203),ABS(B203*(1+$B$28)+C203))*100),(INT(MAX(0,F203-(B203*(1+$B$28)+C203))*100)+0.5),MAX(0,F203-(B203*(1+$B$28)+C203))*100),0)/100))</f>
      </c>
      <c r="I203" s="0">
        <f>IF($B$22&lt;&gt;"Ready","",IF($B$6+53&gt;=$B$8,"",IF(I202&lt;&gt;"",I202,IF(H203&gt;0,A203+1,""))))</f>
      </c>
    </row>
    <row r="204" ht="15" customHeight="1">
      <c r="A204" s="0">
        <f>IF($B$22&lt;&gt;"Ready","",IF($B$6+54&gt;=$B$8,"",$B$6+54))</f>
      </c>
      <c r="B204" s="3">
        <f>IF($B$22&lt;&gt;"Ready","",IF($B$6+54&gt;=$B$8,"",G203))</f>
      </c>
      <c r="C204" s="3">
        <f>IF($B$22&lt;&gt;"Ready","",IF($B$6+54&gt;=$B$8,"",IF(A204&lt;$B$7,12*($B$10+$B$11),0)))</f>
      </c>
      <c r="D204" s="3">
        <f>IF($B$22&lt;&gt;"Ready","",IF($B$6+54&gt;=$B$8,"",IF(A204&lt;$B$7,0,12*(IF($B$13&gt;0,IF(A204&gt;=$B$14,$B$13,0),0)+IF($B$15&gt;0,IF(A204&gt;=$B$16,$B$15,0),0)))))</f>
      </c>
      <c r="E204" s="3">
        <f>IF($B$22&lt;&gt;"Ready","",IF($B$6+54&gt;=$B$8,"",IF(A204&lt;$B$7,0,12*$B$12)))</f>
      </c>
      <c r="F204" s="3">
        <f>IF($B$22&lt;&gt;"Ready","",IF($B$6+54&gt;=$B$8,"",MAX(0,E204-D204)))</f>
      </c>
      <c r="G204" s="3">
        <f>IF($B$22&lt;&gt;"Ready","",IF($B$6+54&gt;=$B$8,"",MAX(0,B204*(1+$B$28)+C204-F204)))</f>
      </c>
      <c r="H204" s="3">
        <f>IF($B$22&lt;&gt;"Ready","",IF($B$6+54&gt;=$B$8,"",ROUND(IF(ABS((MAX(0,F204-(B204*(1+$B$28)+C204))*100)-(INT(MAX(0,F204-(B204*(1+$B$28)+C204))*100)+0.5))&lt;=MIN(0.0000001,4*2.220446049250313E-16*MAX(1,ABS(F204),ABS(B204*(1+$B$28)+C204))*100),(INT(MAX(0,F204-(B204*(1+$B$28)+C204))*100)+0.5),MAX(0,F204-(B204*(1+$B$28)+C204))*100),0)/100))</f>
      </c>
      <c r="I204" s="0">
        <f>IF($B$22&lt;&gt;"Ready","",IF($B$6+54&gt;=$B$8,"",IF(I203&lt;&gt;"",I203,IF(H204&gt;0,A204+1,""))))</f>
      </c>
    </row>
    <row r="205" ht="15" customHeight="1">
      <c r="A205" s="0">
        <f>IF($B$22&lt;&gt;"Ready","",IF($B$6+55&gt;=$B$8,"",$B$6+55))</f>
      </c>
      <c r="B205" s="3">
        <f>IF($B$22&lt;&gt;"Ready","",IF($B$6+55&gt;=$B$8,"",G204))</f>
      </c>
      <c r="C205" s="3">
        <f>IF($B$22&lt;&gt;"Ready","",IF($B$6+55&gt;=$B$8,"",IF(A205&lt;$B$7,12*($B$10+$B$11),0)))</f>
      </c>
      <c r="D205" s="3">
        <f>IF($B$22&lt;&gt;"Ready","",IF($B$6+55&gt;=$B$8,"",IF(A205&lt;$B$7,0,12*(IF($B$13&gt;0,IF(A205&gt;=$B$14,$B$13,0),0)+IF($B$15&gt;0,IF(A205&gt;=$B$16,$B$15,0),0)))))</f>
      </c>
      <c r="E205" s="3">
        <f>IF($B$22&lt;&gt;"Ready","",IF($B$6+55&gt;=$B$8,"",IF(A205&lt;$B$7,0,12*$B$12)))</f>
      </c>
      <c r="F205" s="3">
        <f>IF($B$22&lt;&gt;"Ready","",IF($B$6+55&gt;=$B$8,"",MAX(0,E205-D205)))</f>
      </c>
      <c r="G205" s="3">
        <f>IF($B$22&lt;&gt;"Ready","",IF($B$6+55&gt;=$B$8,"",MAX(0,B205*(1+$B$28)+C205-F205)))</f>
      </c>
      <c r="H205" s="3">
        <f>IF($B$22&lt;&gt;"Ready","",IF($B$6+55&gt;=$B$8,"",ROUND(IF(ABS((MAX(0,F205-(B205*(1+$B$28)+C205))*100)-(INT(MAX(0,F205-(B205*(1+$B$28)+C205))*100)+0.5))&lt;=MIN(0.0000001,4*2.220446049250313E-16*MAX(1,ABS(F205),ABS(B205*(1+$B$28)+C205))*100),(INT(MAX(0,F205-(B205*(1+$B$28)+C205))*100)+0.5),MAX(0,F205-(B205*(1+$B$28)+C205))*100),0)/100))</f>
      </c>
      <c r="I205" s="0">
        <f>IF($B$22&lt;&gt;"Ready","",IF($B$6+55&gt;=$B$8,"",IF(I204&lt;&gt;"",I204,IF(H205&gt;0,A205+1,""))))</f>
      </c>
    </row>
    <row r="206" ht="15" customHeight="1">
      <c r="A206" s="0">
        <f>IF($B$22&lt;&gt;"Ready","",IF($B$6+56&gt;=$B$8,"",$B$6+56))</f>
      </c>
      <c r="B206" s="3">
        <f>IF($B$22&lt;&gt;"Ready","",IF($B$6+56&gt;=$B$8,"",G205))</f>
      </c>
      <c r="C206" s="3">
        <f>IF($B$22&lt;&gt;"Ready","",IF($B$6+56&gt;=$B$8,"",IF(A206&lt;$B$7,12*($B$10+$B$11),0)))</f>
      </c>
      <c r="D206" s="3">
        <f>IF($B$22&lt;&gt;"Ready","",IF($B$6+56&gt;=$B$8,"",IF(A206&lt;$B$7,0,12*(IF($B$13&gt;0,IF(A206&gt;=$B$14,$B$13,0),0)+IF($B$15&gt;0,IF(A206&gt;=$B$16,$B$15,0),0)))))</f>
      </c>
      <c r="E206" s="3">
        <f>IF($B$22&lt;&gt;"Ready","",IF($B$6+56&gt;=$B$8,"",IF(A206&lt;$B$7,0,12*$B$12)))</f>
      </c>
      <c r="F206" s="3">
        <f>IF($B$22&lt;&gt;"Ready","",IF($B$6+56&gt;=$B$8,"",MAX(0,E206-D206)))</f>
      </c>
      <c r="G206" s="3">
        <f>IF($B$22&lt;&gt;"Ready","",IF($B$6+56&gt;=$B$8,"",MAX(0,B206*(1+$B$28)+C206-F206)))</f>
      </c>
      <c r="H206" s="3">
        <f>IF($B$22&lt;&gt;"Ready","",IF($B$6+56&gt;=$B$8,"",ROUND(IF(ABS((MAX(0,F206-(B206*(1+$B$28)+C206))*100)-(INT(MAX(0,F206-(B206*(1+$B$28)+C206))*100)+0.5))&lt;=MIN(0.0000001,4*2.220446049250313E-16*MAX(1,ABS(F206),ABS(B206*(1+$B$28)+C206))*100),(INT(MAX(0,F206-(B206*(1+$B$28)+C206))*100)+0.5),MAX(0,F206-(B206*(1+$B$28)+C206))*100),0)/100))</f>
      </c>
      <c r="I206" s="0">
        <f>IF($B$22&lt;&gt;"Ready","",IF($B$6+56&gt;=$B$8,"",IF(I205&lt;&gt;"",I205,IF(H206&gt;0,A206+1,""))))</f>
      </c>
    </row>
    <row r="207" ht="15" customHeight="1">
      <c r="A207" s="0">
        <f>IF($B$22&lt;&gt;"Ready","",IF($B$6+57&gt;=$B$8,"",$B$6+57))</f>
      </c>
      <c r="B207" s="3">
        <f>IF($B$22&lt;&gt;"Ready","",IF($B$6+57&gt;=$B$8,"",G206))</f>
      </c>
      <c r="C207" s="3">
        <f>IF($B$22&lt;&gt;"Ready","",IF($B$6+57&gt;=$B$8,"",IF(A207&lt;$B$7,12*($B$10+$B$11),0)))</f>
      </c>
      <c r="D207" s="3">
        <f>IF($B$22&lt;&gt;"Ready","",IF($B$6+57&gt;=$B$8,"",IF(A207&lt;$B$7,0,12*(IF($B$13&gt;0,IF(A207&gt;=$B$14,$B$13,0),0)+IF($B$15&gt;0,IF(A207&gt;=$B$16,$B$15,0),0)))))</f>
      </c>
      <c r="E207" s="3">
        <f>IF($B$22&lt;&gt;"Ready","",IF($B$6+57&gt;=$B$8,"",IF(A207&lt;$B$7,0,12*$B$12)))</f>
      </c>
      <c r="F207" s="3">
        <f>IF($B$22&lt;&gt;"Ready","",IF($B$6+57&gt;=$B$8,"",MAX(0,E207-D207)))</f>
      </c>
      <c r="G207" s="3">
        <f>IF($B$22&lt;&gt;"Ready","",IF($B$6+57&gt;=$B$8,"",MAX(0,B207*(1+$B$28)+C207-F207)))</f>
      </c>
      <c r="H207" s="3">
        <f>IF($B$22&lt;&gt;"Ready","",IF($B$6+57&gt;=$B$8,"",ROUND(IF(ABS((MAX(0,F207-(B207*(1+$B$28)+C207))*100)-(INT(MAX(0,F207-(B207*(1+$B$28)+C207))*100)+0.5))&lt;=MIN(0.0000001,4*2.220446049250313E-16*MAX(1,ABS(F207),ABS(B207*(1+$B$28)+C207))*100),(INT(MAX(0,F207-(B207*(1+$B$28)+C207))*100)+0.5),MAX(0,F207-(B207*(1+$B$28)+C207))*100),0)/100))</f>
      </c>
      <c r="I207" s="0">
        <f>IF($B$22&lt;&gt;"Ready","",IF($B$6+57&gt;=$B$8,"",IF(I206&lt;&gt;"",I206,IF(H207&gt;0,A207+1,""))))</f>
      </c>
    </row>
    <row r="208" ht="15" customHeight="1">
      <c r="A208" s="0">
        <f>IF($B$22&lt;&gt;"Ready","",IF($B$6+58&gt;=$B$8,"",$B$6+58))</f>
      </c>
      <c r="B208" s="3">
        <f>IF($B$22&lt;&gt;"Ready","",IF($B$6+58&gt;=$B$8,"",G207))</f>
      </c>
      <c r="C208" s="3">
        <f>IF($B$22&lt;&gt;"Ready","",IF($B$6+58&gt;=$B$8,"",IF(A208&lt;$B$7,12*($B$10+$B$11),0)))</f>
      </c>
      <c r="D208" s="3">
        <f>IF($B$22&lt;&gt;"Ready","",IF($B$6+58&gt;=$B$8,"",IF(A208&lt;$B$7,0,12*(IF($B$13&gt;0,IF(A208&gt;=$B$14,$B$13,0),0)+IF($B$15&gt;0,IF(A208&gt;=$B$16,$B$15,0),0)))))</f>
      </c>
      <c r="E208" s="3">
        <f>IF($B$22&lt;&gt;"Ready","",IF($B$6+58&gt;=$B$8,"",IF(A208&lt;$B$7,0,12*$B$12)))</f>
      </c>
      <c r="F208" s="3">
        <f>IF($B$22&lt;&gt;"Ready","",IF($B$6+58&gt;=$B$8,"",MAX(0,E208-D208)))</f>
      </c>
      <c r="G208" s="3">
        <f>IF($B$22&lt;&gt;"Ready","",IF($B$6+58&gt;=$B$8,"",MAX(0,B208*(1+$B$28)+C208-F208)))</f>
      </c>
      <c r="H208" s="3">
        <f>IF($B$22&lt;&gt;"Ready","",IF($B$6+58&gt;=$B$8,"",ROUND(IF(ABS((MAX(0,F208-(B208*(1+$B$28)+C208))*100)-(INT(MAX(0,F208-(B208*(1+$B$28)+C208))*100)+0.5))&lt;=MIN(0.0000001,4*2.220446049250313E-16*MAX(1,ABS(F208),ABS(B208*(1+$B$28)+C208))*100),(INT(MAX(0,F208-(B208*(1+$B$28)+C208))*100)+0.5),MAX(0,F208-(B208*(1+$B$28)+C208))*100),0)/100))</f>
      </c>
      <c r="I208" s="0">
        <f>IF($B$22&lt;&gt;"Ready","",IF($B$6+58&gt;=$B$8,"",IF(I207&lt;&gt;"",I207,IF(H208&gt;0,A208+1,""))))</f>
      </c>
    </row>
    <row r="209" ht="15" customHeight="1">
      <c r="A209" s="0">
        <f>IF($B$22&lt;&gt;"Ready","",IF($B$6+59&gt;=$B$8,"",$B$6+59))</f>
      </c>
      <c r="B209" s="3">
        <f>IF($B$22&lt;&gt;"Ready","",IF($B$6+59&gt;=$B$8,"",G208))</f>
      </c>
      <c r="C209" s="3">
        <f>IF($B$22&lt;&gt;"Ready","",IF($B$6+59&gt;=$B$8,"",IF(A209&lt;$B$7,12*($B$10+$B$11),0)))</f>
      </c>
      <c r="D209" s="3">
        <f>IF($B$22&lt;&gt;"Ready","",IF($B$6+59&gt;=$B$8,"",IF(A209&lt;$B$7,0,12*(IF($B$13&gt;0,IF(A209&gt;=$B$14,$B$13,0),0)+IF($B$15&gt;0,IF(A209&gt;=$B$16,$B$15,0),0)))))</f>
      </c>
      <c r="E209" s="3">
        <f>IF($B$22&lt;&gt;"Ready","",IF($B$6+59&gt;=$B$8,"",IF(A209&lt;$B$7,0,12*$B$12)))</f>
      </c>
      <c r="F209" s="3">
        <f>IF($B$22&lt;&gt;"Ready","",IF($B$6+59&gt;=$B$8,"",MAX(0,E209-D209)))</f>
      </c>
      <c r="G209" s="3">
        <f>IF($B$22&lt;&gt;"Ready","",IF($B$6+59&gt;=$B$8,"",MAX(0,B209*(1+$B$28)+C209-F209)))</f>
      </c>
      <c r="H209" s="3">
        <f>IF($B$22&lt;&gt;"Ready","",IF($B$6+59&gt;=$B$8,"",ROUND(IF(ABS((MAX(0,F209-(B209*(1+$B$28)+C209))*100)-(INT(MAX(0,F209-(B209*(1+$B$28)+C209))*100)+0.5))&lt;=MIN(0.0000001,4*2.220446049250313E-16*MAX(1,ABS(F209),ABS(B209*(1+$B$28)+C209))*100),(INT(MAX(0,F209-(B209*(1+$B$28)+C209))*100)+0.5),MAX(0,F209-(B209*(1+$B$28)+C209))*100),0)/100))</f>
      </c>
      <c r="I209" s="0">
        <f>IF($B$22&lt;&gt;"Ready","",IF($B$6+59&gt;=$B$8,"",IF(I208&lt;&gt;"",I208,IF(H209&gt;0,A209+1,""))))</f>
      </c>
    </row>
    <row r="210" ht="15" customHeight="1">
      <c r="A210" s="0">
        <f>IF($B$22&lt;&gt;"Ready","",IF($B$6+60&gt;=$B$8,"",$B$6+60))</f>
      </c>
      <c r="B210" s="3">
        <f>IF($B$22&lt;&gt;"Ready","",IF($B$6+60&gt;=$B$8,"",G209))</f>
      </c>
      <c r="C210" s="3">
        <f>IF($B$22&lt;&gt;"Ready","",IF($B$6+60&gt;=$B$8,"",IF(A210&lt;$B$7,12*($B$10+$B$11),0)))</f>
      </c>
      <c r="D210" s="3">
        <f>IF($B$22&lt;&gt;"Ready","",IF($B$6+60&gt;=$B$8,"",IF(A210&lt;$B$7,0,12*(IF($B$13&gt;0,IF(A210&gt;=$B$14,$B$13,0),0)+IF($B$15&gt;0,IF(A210&gt;=$B$16,$B$15,0),0)))))</f>
      </c>
      <c r="E210" s="3">
        <f>IF($B$22&lt;&gt;"Ready","",IF($B$6+60&gt;=$B$8,"",IF(A210&lt;$B$7,0,12*$B$12)))</f>
      </c>
      <c r="F210" s="3">
        <f>IF($B$22&lt;&gt;"Ready","",IF($B$6+60&gt;=$B$8,"",MAX(0,E210-D210)))</f>
      </c>
      <c r="G210" s="3">
        <f>IF($B$22&lt;&gt;"Ready","",IF($B$6+60&gt;=$B$8,"",MAX(0,B210*(1+$B$28)+C210-F210)))</f>
      </c>
      <c r="H210" s="3">
        <f>IF($B$22&lt;&gt;"Ready","",IF($B$6+60&gt;=$B$8,"",ROUND(IF(ABS((MAX(0,F210-(B210*(1+$B$28)+C210))*100)-(INT(MAX(0,F210-(B210*(1+$B$28)+C210))*100)+0.5))&lt;=MIN(0.0000001,4*2.220446049250313E-16*MAX(1,ABS(F210),ABS(B210*(1+$B$28)+C210))*100),(INT(MAX(0,F210-(B210*(1+$B$28)+C210))*100)+0.5),MAX(0,F210-(B210*(1+$B$28)+C210))*100),0)/100))</f>
      </c>
      <c r="I210" s="0">
        <f>IF($B$22&lt;&gt;"Ready","",IF($B$6+60&gt;=$B$8,"",IF(I209&lt;&gt;"",I209,IF(H210&gt;0,A210+1,""))))</f>
      </c>
    </row>
    <row r="211" ht="15" customHeight="1">
      <c r="A211" s="0">
        <f>IF($B$22&lt;&gt;"Ready","",IF($B$6+61&gt;=$B$8,"",$B$6+61))</f>
      </c>
      <c r="B211" s="3">
        <f>IF($B$22&lt;&gt;"Ready","",IF($B$6+61&gt;=$B$8,"",G210))</f>
      </c>
      <c r="C211" s="3">
        <f>IF($B$22&lt;&gt;"Ready","",IF($B$6+61&gt;=$B$8,"",IF(A211&lt;$B$7,12*($B$10+$B$11),0)))</f>
      </c>
      <c r="D211" s="3">
        <f>IF($B$22&lt;&gt;"Ready","",IF($B$6+61&gt;=$B$8,"",IF(A211&lt;$B$7,0,12*(IF($B$13&gt;0,IF(A211&gt;=$B$14,$B$13,0),0)+IF($B$15&gt;0,IF(A211&gt;=$B$16,$B$15,0),0)))))</f>
      </c>
      <c r="E211" s="3">
        <f>IF($B$22&lt;&gt;"Ready","",IF($B$6+61&gt;=$B$8,"",IF(A211&lt;$B$7,0,12*$B$12)))</f>
      </c>
      <c r="F211" s="3">
        <f>IF($B$22&lt;&gt;"Ready","",IF($B$6+61&gt;=$B$8,"",MAX(0,E211-D211)))</f>
      </c>
      <c r="G211" s="3">
        <f>IF($B$22&lt;&gt;"Ready","",IF($B$6+61&gt;=$B$8,"",MAX(0,B211*(1+$B$28)+C211-F211)))</f>
      </c>
      <c r="H211" s="3">
        <f>IF($B$22&lt;&gt;"Ready","",IF($B$6+61&gt;=$B$8,"",ROUND(IF(ABS((MAX(0,F211-(B211*(1+$B$28)+C211))*100)-(INT(MAX(0,F211-(B211*(1+$B$28)+C211))*100)+0.5))&lt;=MIN(0.0000001,4*2.220446049250313E-16*MAX(1,ABS(F211),ABS(B211*(1+$B$28)+C211))*100),(INT(MAX(0,F211-(B211*(1+$B$28)+C211))*100)+0.5),MAX(0,F211-(B211*(1+$B$28)+C211))*100),0)/100))</f>
      </c>
      <c r="I211" s="0">
        <f>IF($B$22&lt;&gt;"Ready","",IF($B$6+61&gt;=$B$8,"",IF(I210&lt;&gt;"",I210,IF(H211&gt;0,A211+1,""))))</f>
      </c>
    </row>
    <row r="212" ht="15" customHeight="1">
      <c r="A212" s="0">
        <f>IF($B$22&lt;&gt;"Ready","",IF($B$6+62&gt;=$B$8,"",$B$6+62))</f>
      </c>
      <c r="B212" s="3">
        <f>IF($B$22&lt;&gt;"Ready","",IF($B$6+62&gt;=$B$8,"",G211))</f>
      </c>
      <c r="C212" s="3">
        <f>IF($B$22&lt;&gt;"Ready","",IF($B$6+62&gt;=$B$8,"",IF(A212&lt;$B$7,12*($B$10+$B$11),0)))</f>
      </c>
      <c r="D212" s="3">
        <f>IF($B$22&lt;&gt;"Ready","",IF($B$6+62&gt;=$B$8,"",IF(A212&lt;$B$7,0,12*(IF($B$13&gt;0,IF(A212&gt;=$B$14,$B$13,0),0)+IF($B$15&gt;0,IF(A212&gt;=$B$16,$B$15,0),0)))))</f>
      </c>
      <c r="E212" s="3">
        <f>IF($B$22&lt;&gt;"Ready","",IF($B$6+62&gt;=$B$8,"",IF(A212&lt;$B$7,0,12*$B$12)))</f>
      </c>
      <c r="F212" s="3">
        <f>IF($B$22&lt;&gt;"Ready","",IF($B$6+62&gt;=$B$8,"",MAX(0,E212-D212)))</f>
      </c>
      <c r="G212" s="3">
        <f>IF($B$22&lt;&gt;"Ready","",IF($B$6+62&gt;=$B$8,"",MAX(0,B212*(1+$B$28)+C212-F212)))</f>
      </c>
      <c r="H212" s="3">
        <f>IF($B$22&lt;&gt;"Ready","",IF($B$6+62&gt;=$B$8,"",ROUND(IF(ABS((MAX(0,F212-(B212*(1+$B$28)+C212))*100)-(INT(MAX(0,F212-(B212*(1+$B$28)+C212))*100)+0.5))&lt;=MIN(0.0000001,4*2.220446049250313E-16*MAX(1,ABS(F212),ABS(B212*(1+$B$28)+C212))*100),(INT(MAX(0,F212-(B212*(1+$B$28)+C212))*100)+0.5),MAX(0,F212-(B212*(1+$B$28)+C212))*100),0)/100))</f>
      </c>
      <c r="I212" s="0">
        <f>IF($B$22&lt;&gt;"Ready","",IF($B$6+62&gt;=$B$8,"",IF(I211&lt;&gt;"",I211,IF(H212&gt;0,A212+1,""))))</f>
      </c>
    </row>
    <row r="213" ht="15" customHeight="1">
      <c r="A213" s="0">
        <f>IF($B$22&lt;&gt;"Ready","",IF($B$6+63&gt;=$B$8,"",$B$6+63))</f>
      </c>
      <c r="B213" s="3">
        <f>IF($B$22&lt;&gt;"Ready","",IF($B$6+63&gt;=$B$8,"",G212))</f>
      </c>
      <c r="C213" s="3">
        <f>IF($B$22&lt;&gt;"Ready","",IF($B$6+63&gt;=$B$8,"",IF(A213&lt;$B$7,12*($B$10+$B$11),0)))</f>
      </c>
      <c r="D213" s="3">
        <f>IF($B$22&lt;&gt;"Ready","",IF($B$6+63&gt;=$B$8,"",IF(A213&lt;$B$7,0,12*(IF($B$13&gt;0,IF(A213&gt;=$B$14,$B$13,0),0)+IF($B$15&gt;0,IF(A213&gt;=$B$16,$B$15,0),0)))))</f>
      </c>
      <c r="E213" s="3">
        <f>IF($B$22&lt;&gt;"Ready","",IF($B$6+63&gt;=$B$8,"",IF(A213&lt;$B$7,0,12*$B$12)))</f>
      </c>
      <c r="F213" s="3">
        <f>IF($B$22&lt;&gt;"Ready","",IF($B$6+63&gt;=$B$8,"",MAX(0,E213-D213)))</f>
      </c>
      <c r="G213" s="3">
        <f>IF($B$22&lt;&gt;"Ready","",IF($B$6+63&gt;=$B$8,"",MAX(0,B213*(1+$B$28)+C213-F213)))</f>
      </c>
      <c r="H213" s="3">
        <f>IF($B$22&lt;&gt;"Ready","",IF($B$6+63&gt;=$B$8,"",ROUND(IF(ABS((MAX(0,F213-(B213*(1+$B$28)+C213))*100)-(INT(MAX(0,F213-(B213*(1+$B$28)+C213))*100)+0.5))&lt;=MIN(0.0000001,4*2.220446049250313E-16*MAX(1,ABS(F213),ABS(B213*(1+$B$28)+C213))*100),(INT(MAX(0,F213-(B213*(1+$B$28)+C213))*100)+0.5),MAX(0,F213-(B213*(1+$B$28)+C213))*100),0)/100))</f>
      </c>
      <c r="I213" s="0">
        <f>IF($B$22&lt;&gt;"Ready","",IF($B$6+63&gt;=$B$8,"",IF(I212&lt;&gt;"",I212,IF(H213&gt;0,A213+1,""))))</f>
      </c>
    </row>
    <row r="214" ht="15" customHeight="1">
      <c r="A214" s="0">
        <f>IF($B$22&lt;&gt;"Ready","",IF($B$6+64&gt;=$B$8,"",$B$6+64))</f>
      </c>
      <c r="B214" s="3">
        <f>IF($B$22&lt;&gt;"Ready","",IF($B$6+64&gt;=$B$8,"",G213))</f>
      </c>
      <c r="C214" s="3">
        <f>IF($B$22&lt;&gt;"Ready","",IF($B$6+64&gt;=$B$8,"",IF(A214&lt;$B$7,12*($B$10+$B$11),0)))</f>
      </c>
      <c r="D214" s="3">
        <f>IF($B$22&lt;&gt;"Ready","",IF($B$6+64&gt;=$B$8,"",IF(A214&lt;$B$7,0,12*(IF($B$13&gt;0,IF(A214&gt;=$B$14,$B$13,0),0)+IF($B$15&gt;0,IF(A214&gt;=$B$16,$B$15,0),0)))))</f>
      </c>
      <c r="E214" s="3">
        <f>IF($B$22&lt;&gt;"Ready","",IF($B$6+64&gt;=$B$8,"",IF(A214&lt;$B$7,0,12*$B$12)))</f>
      </c>
      <c r="F214" s="3">
        <f>IF($B$22&lt;&gt;"Ready","",IF($B$6+64&gt;=$B$8,"",MAX(0,E214-D214)))</f>
      </c>
      <c r="G214" s="3">
        <f>IF($B$22&lt;&gt;"Ready","",IF($B$6+64&gt;=$B$8,"",MAX(0,B214*(1+$B$28)+C214-F214)))</f>
      </c>
      <c r="H214" s="3">
        <f>IF($B$22&lt;&gt;"Ready","",IF($B$6+64&gt;=$B$8,"",ROUND(IF(ABS((MAX(0,F214-(B214*(1+$B$28)+C214))*100)-(INT(MAX(0,F214-(B214*(1+$B$28)+C214))*100)+0.5))&lt;=MIN(0.0000001,4*2.220446049250313E-16*MAX(1,ABS(F214),ABS(B214*(1+$B$28)+C214))*100),(INT(MAX(0,F214-(B214*(1+$B$28)+C214))*100)+0.5),MAX(0,F214-(B214*(1+$B$28)+C214))*100),0)/100))</f>
      </c>
      <c r="I214" s="0">
        <f>IF($B$22&lt;&gt;"Ready","",IF($B$6+64&gt;=$B$8,"",IF(I213&lt;&gt;"",I213,IF(H214&gt;0,A214+1,""))))</f>
      </c>
    </row>
    <row r="215" ht="15" customHeight="1">
      <c r="A215" s="0">
        <f>IF($B$22&lt;&gt;"Ready","",IF($B$6+65&gt;=$B$8,"",$B$6+65))</f>
      </c>
      <c r="B215" s="3">
        <f>IF($B$22&lt;&gt;"Ready","",IF($B$6+65&gt;=$B$8,"",G214))</f>
      </c>
      <c r="C215" s="3">
        <f>IF($B$22&lt;&gt;"Ready","",IF($B$6+65&gt;=$B$8,"",IF(A215&lt;$B$7,12*($B$10+$B$11),0)))</f>
      </c>
      <c r="D215" s="3">
        <f>IF($B$22&lt;&gt;"Ready","",IF($B$6+65&gt;=$B$8,"",IF(A215&lt;$B$7,0,12*(IF($B$13&gt;0,IF(A215&gt;=$B$14,$B$13,0),0)+IF($B$15&gt;0,IF(A215&gt;=$B$16,$B$15,0),0)))))</f>
      </c>
      <c r="E215" s="3">
        <f>IF($B$22&lt;&gt;"Ready","",IF($B$6+65&gt;=$B$8,"",IF(A215&lt;$B$7,0,12*$B$12)))</f>
      </c>
      <c r="F215" s="3">
        <f>IF($B$22&lt;&gt;"Ready","",IF($B$6+65&gt;=$B$8,"",MAX(0,E215-D215)))</f>
      </c>
      <c r="G215" s="3">
        <f>IF($B$22&lt;&gt;"Ready","",IF($B$6+65&gt;=$B$8,"",MAX(0,B215*(1+$B$28)+C215-F215)))</f>
      </c>
      <c r="H215" s="3">
        <f>IF($B$22&lt;&gt;"Ready","",IF($B$6+65&gt;=$B$8,"",ROUND(IF(ABS((MAX(0,F215-(B215*(1+$B$28)+C215))*100)-(INT(MAX(0,F215-(B215*(1+$B$28)+C215))*100)+0.5))&lt;=MIN(0.0000001,4*2.220446049250313E-16*MAX(1,ABS(F215),ABS(B215*(1+$B$28)+C215))*100),(INT(MAX(0,F215-(B215*(1+$B$28)+C215))*100)+0.5),MAX(0,F215-(B215*(1+$B$28)+C215))*100),0)/100))</f>
      </c>
      <c r="I215" s="0">
        <f>IF($B$22&lt;&gt;"Ready","",IF($B$6+65&gt;=$B$8,"",IF(I214&lt;&gt;"",I214,IF(H215&gt;0,A215+1,""))))</f>
      </c>
    </row>
    <row r="216" ht="15" customHeight="1">
      <c r="A216" s="0">
        <f>IF($B$22&lt;&gt;"Ready","",IF($B$6+66&gt;=$B$8,"",$B$6+66))</f>
      </c>
      <c r="B216" s="3">
        <f>IF($B$22&lt;&gt;"Ready","",IF($B$6+66&gt;=$B$8,"",G215))</f>
      </c>
      <c r="C216" s="3">
        <f>IF($B$22&lt;&gt;"Ready","",IF($B$6+66&gt;=$B$8,"",IF(A216&lt;$B$7,12*($B$10+$B$11),0)))</f>
      </c>
      <c r="D216" s="3">
        <f>IF($B$22&lt;&gt;"Ready","",IF($B$6+66&gt;=$B$8,"",IF(A216&lt;$B$7,0,12*(IF($B$13&gt;0,IF(A216&gt;=$B$14,$B$13,0),0)+IF($B$15&gt;0,IF(A216&gt;=$B$16,$B$15,0),0)))))</f>
      </c>
      <c r="E216" s="3">
        <f>IF($B$22&lt;&gt;"Ready","",IF($B$6+66&gt;=$B$8,"",IF(A216&lt;$B$7,0,12*$B$12)))</f>
      </c>
      <c r="F216" s="3">
        <f>IF($B$22&lt;&gt;"Ready","",IF($B$6+66&gt;=$B$8,"",MAX(0,E216-D216)))</f>
      </c>
      <c r="G216" s="3">
        <f>IF($B$22&lt;&gt;"Ready","",IF($B$6+66&gt;=$B$8,"",MAX(0,B216*(1+$B$28)+C216-F216)))</f>
      </c>
      <c r="H216" s="3">
        <f>IF($B$22&lt;&gt;"Ready","",IF($B$6+66&gt;=$B$8,"",ROUND(IF(ABS((MAX(0,F216-(B216*(1+$B$28)+C216))*100)-(INT(MAX(0,F216-(B216*(1+$B$28)+C216))*100)+0.5))&lt;=MIN(0.0000001,4*2.220446049250313E-16*MAX(1,ABS(F216),ABS(B216*(1+$B$28)+C216))*100),(INT(MAX(0,F216-(B216*(1+$B$28)+C216))*100)+0.5),MAX(0,F216-(B216*(1+$B$28)+C216))*100),0)/100))</f>
      </c>
      <c r="I216" s="0">
        <f>IF($B$22&lt;&gt;"Ready","",IF($B$6+66&gt;=$B$8,"",IF(I215&lt;&gt;"",I215,IF(H216&gt;0,A216+1,""))))</f>
      </c>
    </row>
    <row r="217" ht="15" customHeight="1">
      <c r="A217" s="0">
        <f>IF($B$22&lt;&gt;"Ready","",IF($B$6+67&gt;=$B$8,"",$B$6+67))</f>
      </c>
      <c r="B217" s="3">
        <f>IF($B$22&lt;&gt;"Ready","",IF($B$6+67&gt;=$B$8,"",G216))</f>
      </c>
      <c r="C217" s="3">
        <f>IF($B$22&lt;&gt;"Ready","",IF($B$6+67&gt;=$B$8,"",IF(A217&lt;$B$7,12*($B$10+$B$11),0)))</f>
      </c>
      <c r="D217" s="3">
        <f>IF($B$22&lt;&gt;"Ready","",IF($B$6+67&gt;=$B$8,"",IF(A217&lt;$B$7,0,12*(IF($B$13&gt;0,IF(A217&gt;=$B$14,$B$13,0),0)+IF($B$15&gt;0,IF(A217&gt;=$B$16,$B$15,0),0)))))</f>
      </c>
      <c r="E217" s="3">
        <f>IF($B$22&lt;&gt;"Ready","",IF($B$6+67&gt;=$B$8,"",IF(A217&lt;$B$7,0,12*$B$12)))</f>
      </c>
      <c r="F217" s="3">
        <f>IF($B$22&lt;&gt;"Ready","",IF($B$6+67&gt;=$B$8,"",MAX(0,E217-D217)))</f>
      </c>
      <c r="G217" s="3">
        <f>IF($B$22&lt;&gt;"Ready","",IF($B$6+67&gt;=$B$8,"",MAX(0,B217*(1+$B$28)+C217-F217)))</f>
      </c>
      <c r="H217" s="3">
        <f>IF($B$22&lt;&gt;"Ready","",IF($B$6+67&gt;=$B$8,"",ROUND(IF(ABS((MAX(0,F217-(B217*(1+$B$28)+C217))*100)-(INT(MAX(0,F217-(B217*(1+$B$28)+C217))*100)+0.5))&lt;=MIN(0.0000001,4*2.220446049250313E-16*MAX(1,ABS(F217),ABS(B217*(1+$B$28)+C217))*100),(INT(MAX(0,F217-(B217*(1+$B$28)+C217))*100)+0.5),MAX(0,F217-(B217*(1+$B$28)+C217))*100),0)/100))</f>
      </c>
      <c r="I217" s="0">
        <f>IF($B$22&lt;&gt;"Ready","",IF($B$6+67&gt;=$B$8,"",IF(I216&lt;&gt;"",I216,IF(H217&gt;0,A217+1,""))))</f>
      </c>
    </row>
    <row r="218" ht="15" customHeight="1">
      <c r="A218" s="0">
        <f>IF($B$22&lt;&gt;"Ready","",IF($B$6+68&gt;=$B$8,"",$B$6+68))</f>
      </c>
      <c r="B218" s="3">
        <f>IF($B$22&lt;&gt;"Ready","",IF($B$6+68&gt;=$B$8,"",G217))</f>
      </c>
      <c r="C218" s="3">
        <f>IF($B$22&lt;&gt;"Ready","",IF($B$6+68&gt;=$B$8,"",IF(A218&lt;$B$7,12*($B$10+$B$11),0)))</f>
      </c>
      <c r="D218" s="3">
        <f>IF($B$22&lt;&gt;"Ready","",IF($B$6+68&gt;=$B$8,"",IF(A218&lt;$B$7,0,12*(IF($B$13&gt;0,IF(A218&gt;=$B$14,$B$13,0),0)+IF($B$15&gt;0,IF(A218&gt;=$B$16,$B$15,0),0)))))</f>
      </c>
      <c r="E218" s="3">
        <f>IF($B$22&lt;&gt;"Ready","",IF($B$6+68&gt;=$B$8,"",IF(A218&lt;$B$7,0,12*$B$12)))</f>
      </c>
      <c r="F218" s="3">
        <f>IF($B$22&lt;&gt;"Ready","",IF($B$6+68&gt;=$B$8,"",MAX(0,E218-D218)))</f>
      </c>
      <c r="G218" s="3">
        <f>IF($B$22&lt;&gt;"Ready","",IF($B$6+68&gt;=$B$8,"",MAX(0,B218*(1+$B$28)+C218-F218)))</f>
      </c>
      <c r="H218" s="3">
        <f>IF($B$22&lt;&gt;"Ready","",IF($B$6+68&gt;=$B$8,"",ROUND(IF(ABS((MAX(0,F218-(B218*(1+$B$28)+C218))*100)-(INT(MAX(0,F218-(B218*(1+$B$28)+C218))*100)+0.5))&lt;=MIN(0.0000001,4*2.220446049250313E-16*MAX(1,ABS(F218),ABS(B218*(1+$B$28)+C218))*100),(INT(MAX(0,F218-(B218*(1+$B$28)+C218))*100)+0.5),MAX(0,F218-(B218*(1+$B$28)+C218))*100),0)/100))</f>
      </c>
      <c r="I218" s="0">
        <f>IF($B$22&lt;&gt;"Ready","",IF($B$6+68&gt;=$B$8,"",IF(I217&lt;&gt;"",I217,IF(H218&gt;0,A218+1,""))))</f>
      </c>
    </row>
    <row r="219" ht="15" customHeight="1">
      <c r="A219" s="0">
        <f>IF($B$22&lt;&gt;"Ready","",IF($B$6+69&gt;=$B$8,"",$B$6+69))</f>
      </c>
      <c r="B219" s="3">
        <f>IF($B$22&lt;&gt;"Ready","",IF($B$6+69&gt;=$B$8,"",G218))</f>
      </c>
      <c r="C219" s="3">
        <f>IF($B$22&lt;&gt;"Ready","",IF($B$6+69&gt;=$B$8,"",IF(A219&lt;$B$7,12*($B$10+$B$11),0)))</f>
      </c>
      <c r="D219" s="3">
        <f>IF($B$22&lt;&gt;"Ready","",IF($B$6+69&gt;=$B$8,"",IF(A219&lt;$B$7,0,12*(IF($B$13&gt;0,IF(A219&gt;=$B$14,$B$13,0),0)+IF($B$15&gt;0,IF(A219&gt;=$B$16,$B$15,0),0)))))</f>
      </c>
      <c r="E219" s="3">
        <f>IF($B$22&lt;&gt;"Ready","",IF($B$6+69&gt;=$B$8,"",IF(A219&lt;$B$7,0,12*$B$12)))</f>
      </c>
      <c r="F219" s="3">
        <f>IF($B$22&lt;&gt;"Ready","",IF($B$6+69&gt;=$B$8,"",MAX(0,E219-D219)))</f>
      </c>
      <c r="G219" s="3">
        <f>IF($B$22&lt;&gt;"Ready","",IF($B$6+69&gt;=$B$8,"",MAX(0,B219*(1+$B$28)+C219-F219)))</f>
      </c>
      <c r="H219" s="3">
        <f>IF($B$22&lt;&gt;"Ready","",IF($B$6+69&gt;=$B$8,"",ROUND(IF(ABS((MAX(0,F219-(B219*(1+$B$28)+C219))*100)-(INT(MAX(0,F219-(B219*(1+$B$28)+C219))*100)+0.5))&lt;=MIN(0.0000001,4*2.220446049250313E-16*MAX(1,ABS(F219),ABS(B219*(1+$B$28)+C219))*100),(INT(MAX(0,F219-(B219*(1+$B$28)+C219))*100)+0.5),MAX(0,F219-(B219*(1+$B$28)+C219))*100),0)/100))</f>
      </c>
      <c r="I219" s="0">
        <f>IF($B$22&lt;&gt;"Ready","",IF($B$6+69&gt;=$B$8,"",IF(I218&lt;&gt;"",I218,IF(H219&gt;0,A219+1,""))))</f>
      </c>
    </row>
    <row r="220" ht="15" customHeight="1">
      <c r="A220" s="0">
        <f>IF($B$22&lt;&gt;"Ready","",IF($B$6+70&gt;=$B$8,"",$B$6+70))</f>
      </c>
      <c r="B220" s="3">
        <f>IF($B$22&lt;&gt;"Ready","",IF($B$6+70&gt;=$B$8,"",G219))</f>
      </c>
      <c r="C220" s="3">
        <f>IF($B$22&lt;&gt;"Ready","",IF($B$6+70&gt;=$B$8,"",IF(A220&lt;$B$7,12*($B$10+$B$11),0)))</f>
      </c>
      <c r="D220" s="3">
        <f>IF($B$22&lt;&gt;"Ready","",IF($B$6+70&gt;=$B$8,"",IF(A220&lt;$B$7,0,12*(IF($B$13&gt;0,IF(A220&gt;=$B$14,$B$13,0),0)+IF($B$15&gt;0,IF(A220&gt;=$B$16,$B$15,0),0)))))</f>
      </c>
      <c r="E220" s="3">
        <f>IF($B$22&lt;&gt;"Ready","",IF($B$6+70&gt;=$B$8,"",IF(A220&lt;$B$7,0,12*$B$12)))</f>
      </c>
      <c r="F220" s="3">
        <f>IF($B$22&lt;&gt;"Ready","",IF($B$6+70&gt;=$B$8,"",MAX(0,E220-D220)))</f>
      </c>
      <c r="G220" s="3">
        <f>IF($B$22&lt;&gt;"Ready","",IF($B$6+70&gt;=$B$8,"",MAX(0,B220*(1+$B$28)+C220-F220)))</f>
      </c>
      <c r="H220" s="3">
        <f>IF($B$22&lt;&gt;"Ready","",IF($B$6+70&gt;=$B$8,"",ROUND(IF(ABS((MAX(0,F220-(B220*(1+$B$28)+C220))*100)-(INT(MAX(0,F220-(B220*(1+$B$28)+C220))*100)+0.5))&lt;=MIN(0.0000001,4*2.220446049250313E-16*MAX(1,ABS(F220),ABS(B220*(1+$B$28)+C220))*100),(INT(MAX(0,F220-(B220*(1+$B$28)+C220))*100)+0.5),MAX(0,F220-(B220*(1+$B$28)+C220))*100),0)/100))</f>
      </c>
      <c r="I220" s="0">
        <f>IF($B$22&lt;&gt;"Ready","",IF($B$6+70&gt;=$B$8,"",IF(I219&lt;&gt;"",I219,IF(H220&gt;0,A220+1,""))))</f>
      </c>
    </row>
    <row r="221" ht="15" customHeight="1">
      <c r="A221" s="0">
        <f>IF($B$22&lt;&gt;"Ready","",IF($B$6+71&gt;=$B$8,"",$B$6+71))</f>
      </c>
      <c r="B221" s="3">
        <f>IF($B$22&lt;&gt;"Ready","",IF($B$6+71&gt;=$B$8,"",G220))</f>
      </c>
      <c r="C221" s="3">
        <f>IF($B$22&lt;&gt;"Ready","",IF($B$6+71&gt;=$B$8,"",IF(A221&lt;$B$7,12*($B$10+$B$11),0)))</f>
      </c>
      <c r="D221" s="3">
        <f>IF($B$22&lt;&gt;"Ready","",IF($B$6+71&gt;=$B$8,"",IF(A221&lt;$B$7,0,12*(IF($B$13&gt;0,IF(A221&gt;=$B$14,$B$13,0),0)+IF($B$15&gt;0,IF(A221&gt;=$B$16,$B$15,0),0)))))</f>
      </c>
      <c r="E221" s="3">
        <f>IF($B$22&lt;&gt;"Ready","",IF($B$6+71&gt;=$B$8,"",IF(A221&lt;$B$7,0,12*$B$12)))</f>
      </c>
      <c r="F221" s="3">
        <f>IF($B$22&lt;&gt;"Ready","",IF($B$6+71&gt;=$B$8,"",MAX(0,E221-D221)))</f>
      </c>
      <c r="G221" s="3">
        <f>IF($B$22&lt;&gt;"Ready","",IF($B$6+71&gt;=$B$8,"",MAX(0,B221*(1+$B$28)+C221-F221)))</f>
      </c>
      <c r="H221" s="3">
        <f>IF($B$22&lt;&gt;"Ready","",IF($B$6+71&gt;=$B$8,"",ROUND(IF(ABS((MAX(0,F221-(B221*(1+$B$28)+C221))*100)-(INT(MAX(0,F221-(B221*(1+$B$28)+C221))*100)+0.5))&lt;=MIN(0.0000001,4*2.220446049250313E-16*MAX(1,ABS(F221),ABS(B221*(1+$B$28)+C221))*100),(INT(MAX(0,F221-(B221*(1+$B$28)+C221))*100)+0.5),MAX(0,F221-(B221*(1+$B$28)+C221))*100),0)/100))</f>
      </c>
      <c r="I221" s="0">
        <f>IF($B$22&lt;&gt;"Ready","",IF($B$6+71&gt;=$B$8,"",IF(I220&lt;&gt;"",I220,IF(H221&gt;0,A221+1,""))))</f>
      </c>
    </row>
    <row r="222" ht="15" customHeight="1">
      <c r="A222" s="0">
        <f>IF($B$22&lt;&gt;"Ready","",IF($B$6+72&gt;=$B$8,"",$B$6+72))</f>
      </c>
      <c r="B222" s="3">
        <f>IF($B$22&lt;&gt;"Ready","",IF($B$6+72&gt;=$B$8,"",G221))</f>
      </c>
      <c r="C222" s="3">
        <f>IF($B$22&lt;&gt;"Ready","",IF($B$6+72&gt;=$B$8,"",IF(A222&lt;$B$7,12*($B$10+$B$11),0)))</f>
      </c>
      <c r="D222" s="3">
        <f>IF($B$22&lt;&gt;"Ready","",IF($B$6+72&gt;=$B$8,"",IF(A222&lt;$B$7,0,12*(IF($B$13&gt;0,IF(A222&gt;=$B$14,$B$13,0),0)+IF($B$15&gt;0,IF(A222&gt;=$B$16,$B$15,0),0)))))</f>
      </c>
      <c r="E222" s="3">
        <f>IF($B$22&lt;&gt;"Ready","",IF($B$6+72&gt;=$B$8,"",IF(A222&lt;$B$7,0,12*$B$12)))</f>
      </c>
      <c r="F222" s="3">
        <f>IF($B$22&lt;&gt;"Ready","",IF($B$6+72&gt;=$B$8,"",MAX(0,E222-D222)))</f>
      </c>
      <c r="G222" s="3">
        <f>IF($B$22&lt;&gt;"Ready","",IF($B$6+72&gt;=$B$8,"",MAX(0,B222*(1+$B$28)+C222-F222)))</f>
      </c>
      <c r="H222" s="3">
        <f>IF($B$22&lt;&gt;"Ready","",IF($B$6+72&gt;=$B$8,"",ROUND(IF(ABS((MAX(0,F222-(B222*(1+$B$28)+C222))*100)-(INT(MAX(0,F222-(B222*(1+$B$28)+C222))*100)+0.5))&lt;=MIN(0.0000001,4*2.220446049250313E-16*MAX(1,ABS(F222),ABS(B222*(1+$B$28)+C222))*100),(INT(MAX(0,F222-(B222*(1+$B$28)+C222))*100)+0.5),MAX(0,F222-(B222*(1+$B$28)+C222))*100),0)/100))</f>
      </c>
      <c r="I222" s="0">
        <f>IF($B$22&lt;&gt;"Ready","",IF($B$6+72&gt;=$B$8,"",IF(I221&lt;&gt;"",I221,IF(H222&gt;0,A222+1,""))))</f>
      </c>
    </row>
    <row r="223" ht="15" customHeight="1">
      <c r="A223" s="0">
        <f>IF($B$22&lt;&gt;"Ready","",IF($B$6+73&gt;=$B$8,"",$B$6+73))</f>
      </c>
      <c r="B223" s="3">
        <f>IF($B$22&lt;&gt;"Ready","",IF($B$6+73&gt;=$B$8,"",G222))</f>
      </c>
      <c r="C223" s="3">
        <f>IF($B$22&lt;&gt;"Ready","",IF($B$6+73&gt;=$B$8,"",IF(A223&lt;$B$7,12*($B$10+$B$11),0)))</f>
      </c>
      <c r="D223" s="3">
        <f>IF($B$22&lt;&gt;"Ready","",IF($B$6+73&gt;=$B$8,"",IF(A223&lt;$B$7,0,12*(IF($B$13&gt;0,IF(A223&gt;=$B$14,$B$13,0),0)+IF($B$15&gt;0,IF(A223&gt;=$B$16,$B$15,0),0)))))</f>
      </c>
      <c r="E223" s="3">
        <f>IF($B$22&lt;&gt;"Ready","",IF($B$6+73&gt;=$B$8,"",IF(A223&lt;$B$7,0,12*$B$12)))</f>
      </c>
      <c r="F223" s="3">
        <f>IF($B$22&lt;&gt;"Ready","",IF($B$6+73&gt;=$B$8,"",MAX(0,E223-D223)))</f>
      </c>
      <c r="G223" s="3">
        <f>IF($B$22&lt;&gt;"Ready","",IF($B$6+73&gt;=$B$8,"",MAX(0,B223*(1+$B$28)+C223-F223)))</f>
      </c>
      <c r="H223" s="3">
        <f>IF($B$22&lt;&gt;"Ready","",IF($B$6+73&gt;=$B$8,"",ROUND(IF(ABS((MAX(0,F223-(B223*(1+$B$28)+C223))*100)-(INT(MAX(0,F223-(B223*(1+$B$28)+C223))*100)+0.5))&lt;=MIN(0.0000001,4*2.220446049250313E-16*MAX(1,ABS(F223),ABS(B223*(1+$B$28)+C223))*100),(INT(MAX(0,F223-(B223*(1+$B$28)+C223))*100)+0.5),MAX(0,F223-(B223*(1+$B$28)+C223))*100),0)/100))</f>
      </c>
      <c r="I223" s="0">
        <f>IF($B$22&lt;&gt;"Ready","",IF($B$6+73&gt;=$B$8,"",IF(I222&lt;&gt;"",I222,IF(H223&gt;0,A223+1,""))))</f>
      </c>
    </row>
    <row r="224" ht="15" customHeight="1">
      <c r="A224" s="0">
        <f>IF($B$22&lt;&gt;"Ready","",IF($B$6+74&gt;=$B$8,"",$B$6+74))</f>
      </c>
      <c r="B224" s="3">
        <f>IF($B$22&lt;&gt;"Ready","",IF($B$6+74&gt;=$B$8,"",G223))</f>
      </c>
      <c r="C224" s="3">
        <f>IF($B$22&lt;&gt;"Ready","",IF($B$6+74&gt;=$B$8,"",IF(A224&lt;$B$7,12*($B$10+$B$11),0)))</f>
      </c>
      <c r="D224" s="3">
        <f>IF($B$22&lt;&gt;"Ready","",IF($B$6+74&gt;=$B$8,"",IF(A224&lt;$B$7,0,12*(IF($B$13&gt;0,IF(A224&gt;=$B$14,$B$13,0),0)+IF($B$15&gt;0,IF(A224&gt;=$B$16,$B$15,0),0)))))</f>
      </c>
      <c r="E224" s="3">
        <f>IF($B$22&lt;&gt;"Ready","",IF($B$6+74&gt;=$B$8,"",IF(A224&lt;$B$7,0,12*$B$12)))</f>
      </c>
      <c r="F224" s="3">
        <f>IF($B$22&lt;&gt;"Ready","",IF($B$6+74&gt;=$B$8,"",MAX(0,E224-D224)))</f>
      </c>
      <c r="G224" s="3">
        <f>IF($B$22&lt;&gt;"Ready","",IF($B$6+74&gt;=$B$8,"",MAX(0,B224*(1+$B$28)+C224-F224)))</f>
      </c>
      <c r="H224" s="3">
        <f>IF($B$22&lt;&gt;"Ready","",IF($B$6+74&gt;=$B$8,"",ROUND(IF(ABS((MAX(0,F224-(B224*(1+$B$28)+C224))*100)-(INT(MAX(0,F224-(B224*(1+$B$28)+C224))*100)+0.5))&lt;=MIN(0.0000001,4*2.220446049250313E-16*MAX(1,ABS(F224),ABS(B224*(1+$B$28)+C224))*100),(INT(MAX(0,F224-(B224*(1+$B$28)+C224))*100)+0.5),MAX(0,F224-(B224*(1+$B$28)+C224))*100),0)/100))</f>
      </c>
      <c r="I224" s="0">
        <f>IF($B$22&lt;&gt;"Ready","",IF($B$6+74&gt;=$B$8,"",IF(I223&lt;&gt;"",I223,IF(H224&gt;0,A224+1,""))))</f>
      </c>
    </row>
    <row r="225" ht="15" customHeight="1">
      <c r="A225" s="0">
        <f>IF($B$22&lt;&gt;"Ready","",IF($B$6+75&gt;=$B$8,"",$B$6+75))</f>
      </c>
      <c r="B225" s="3">
        <f>IF($B$22&lt;&gt;"Ready","",IF($B$6+75&gt;=$B$8,"",G224))</f>
      </c>
      <c r="C225" s="3">
        <f>IF($B$22&lt;&gt;"Ready","",IF($B$6+75&gt;=$B$8,"",IF(A225&lt;$B$7,12*($B$10+$B$11),0)))</f>
      </c>
      <c r="D225" s="3">
        <f>IF($B$22&lt;&gt;"Ready","",IF($B$6+75&gt;=$B$8,"",IF(A225&lt;$B$7,0,12*(IF($B$13&gt;0,IF(A225&gt;=$B$14,$B$13,0),0)+IF($B$15&gt;0,IF(A225&gt;=$B$16,$B$15,0),0)))))</f>
      </c>
      <c r="E225" s="3">
        <f>IF($B$22&lt;&gt;"Ready","",IF($B$6+75&gt;=$B$8,"",IF(A225&lt;$B$7,0,12*$B$12)))</f>
      </c>
      <c r="F225" s="3">
        <f>IF($B$22&lt;&gt;"Ready","",IF($B$6+75&gt;=$B$8,"",MAX(0,E225-D225)))</f>
      </c>
      <c r="G225" s="3">
        <f>IF($B$22&lt;&gt;"Ready","",IF($B$6+75&gt;=$B$8,"",MAX(0,B225*(1+$B$28)+C225-F225)))</f>
      </c>
      <c r="H225" s="3">
        <f>IF($B$22&lt;&gt;"Ready","",IF($B$6+75&gt;=$B$8,"",ROUND(IF(ABS((MAX(0,F225-(B225*(1+$B$28)+C225))*100)-(INT(MAX(0,F225-(B225*(1+$B$28)+C225))*100)+0.5))&lt;=MIN(0.0000001,4*2.220446049250313E-16*MAX(1,ABS(F225),ABS(B225*(1+$B$28)+C225))*100),(INT(MAX(0,F225-(B225*(1+$B$28)+C225))*100)+0.5),MAX(0,F225-(B225*(1+$B$28)+C225))*100),0)/100))</f>
      </c>
      <c r="I225" s="0">
        <f>IF($B$22&lt;&gt;"Ready","",IF($B$6+75&gt;=$B$8,"",IF(I224&lt;&gt;"",I224,IF(H225&gt;0,A225+1,""))))</f>
      </c>
    </row>
    <row r="226" ht="15" customHeight="1">
      <c r="A226" s="0">
        <f>IF($B$22&lt;&gt;"Ready","",IF($B$6+76&gt;=$B$8,"",$B$6+76))</f>
      </c>
      <c r="B226" s="3">
        <f>IF($B$22&lt;&gt;"Ready","",IF($B$6+76&gt;=$B$8,"",G225))</f>
      </c>
      <c r="C226" s="3">
        <f>IF($B$22&lt;&gt;"Ready","",IF($B$6+76&gt;=$B$8,"",IF(A226&lt;$B$7,12*($B$10+$B$11),0)))</f>
      </c>
      <c r="D226" s="3">
        <f>IF($B$22&lt;&gt;"Ready","",IF($B$6+76&gt;=$B$8,"",IF(A226&lt;$B$7,0,12*(IF($B$13&gt;0,IF(A226&gt;=$B$14,$B$13,0),0)+IF($B$15&gt;0,IF(A226&gt;=$B$16,$B$15,0),0)))))</f>
      </c>
      <c r="E226" s="3">
        <f>IF($B$22&lt;&gt;"Ready","",IF($B$6+76&gt;=$B$8,"",IF(A226&lt;$B$7,0,12*$B$12)))</f>
      </c>
      <c r="F226" s="3">
        <f>IF($B$22&lt;&gt;"Ready","",IF($B$6+76&gt;=$B$8,"",MAX(0,E226-D226)))</f>
      </c>
      <c r="G226" s="3">
        <f>IF($B$22&lt;&gt;"Ready","",IF($B$6+76&gt;=$B$8,"",MAX(0,B226*(1+$B$28)+C226-F226)))</f>
      </c>
      <c r="H226" s="3">
        <f>IF($B$22&lt;&gt;"Ready","",IF($B$6+76&gt;=$B$8,"",ROUND(IF(ABS((MAX(0,F226-(B226*(1+$B$28)+C226))*100)-(INT(MAX(0,F226-(B226*(1+$B$28)+C226))*100)+0.5))&lt;=MIN(0.0000001,4*2.220446049250313E-16*MAX(1,ABS(F226),ABS(B226*(1+$B$28)+C226))*100),(INT(MAX(0,F226-(B226*(1+$B$28)+C226))*100)+0.5),MAX(0,F226-(B226*(1+$B$28)+C226))*100),0)/100))</f>
      </c>
      <c r="I226" s="0">
        <f>IF($B$22&lt;&gt;"Ready","",IF($B$6+76&gt;=$B$8,"",IF(I225&lt;&gt;"",I225,IF(H226&gt;0,A226+1,""))))</f>
      </c>
    </row>
    <row r="227" ht="15" customHeight="1">
      <c r="A227" s="0">
        <f>IF($B$22&lt;&gt;"Ready","",IF($B$6+77&gt;=$B$8,"",$B$6+77))</f>
      </c>
      <c r="B227" s="3">
        <f>IF($B$22&lt;&gt;"Ready","",IF($B$6+77&gt;=$B$8,"",G226))</f>
      </c>
      <c r="C227" s="3">
        <f>IF($B$22&lt;&gt;"Ready","",IF($B$6+77&gt;=$B$8,"",IF(A227&lt;$B$7,12*($B$10+$B$11),0)))</f>
      </c>
      <c r="D227" s="3">
        <f>IF($B$22&lt;&gt;"Ready","",IF($B$6+77&gt;=$B$8,"",IF(A227&lt;$B$7,0,12*(IF($B$13&gt;0,IF(A227&gt;=$B$14,$B$13,0),0)+IF($B$15&gt;0,IF(A227&gt;=$B$16,$B$15,0),0)))))</f>
      </c>
      <c r="E227" s="3">
        <f>IF($B$22&lt;&gt;"Ready","",IF($B$6+77&gt;=$B$8,"",IF(A227&lt;$B$7,0,12*$B$12)))</f>
      </c>
      <c r="F227" s="3">
        <f>IF($B$22&lt;&gt;"Ready","",IF($B$6+77&gt;=$B$8,"",MAX(0,E227-D227)))</f>
      </c>
      <c r="G227" s="3">
        <f>IF($B$22&lt;&gt;"Ready","",IF($B$6+77&gt;=$B$8,"",MAX(0,B227*(1+$B$28)+C227-F227)))</f>
      </c>
      <c r="H227" s="3">
        <f>IF($B$22&lt;&gt;"Ready","",IF($B$6+77&gt;=$B$8,"",ROUND(IF(ABS((MAX(0,F227-(B227*(1+$B$28)+C227))*100)-(INT(MAX(0,F227-(B227*(1+$B$28)+C227))*100)+0.5))&lt;=MIN(0.0000001,4*2.220446049250313E-16*MAX(1,ABS(F227),ABS(B227*(1+$B$28)+C227))*100),(INT(MAX(0,F227-(B227*(1+$B$28)+C227))*100)+0.5),MAX(0,F227-(B227*(1+$B$28)+C227))*100),0)/100))</f>
      </c>
      <c r="I227" s="0">
        <f>IF($B$22&lt;&gt;"Ready","",IF($B$6+77&gt;=$B$8,"",IF(I226&lt;&gt;"",I226,IF(H227&gt;0,A227+1,""))))</f>
      </c>
    </row>
    <row r="228" ht="15" customHeight="1">
      <c r="A228" s="0">
        <f>IF($B$22&lt;&gt;"Ready","",IF($B$6+78&gt;=$B$8,"",$B$6+78))</f>
      </c>
      <c r="B228" s="3">
        <f>IF($B$22&lt;&gt;"Ready","",IF($B$6+78&gt;=$B$8,"",G227))</f>
      </c>
      <c r="C228" s="3">
        <f>IF($B$22&lt;&gt;"Ready","",IF($B$6+78&gt;=$B$8,"",IF(A228&lt;$B$7,12*($B$10+$B$11),0)))</f>
      </c>
      <c r="D228" s="3">
        <f>IF($B$22&lt;&gt;"Ready","",IF($B$6+78&gt;=$B$8,"",IF(A228&lt;$B$7,0,12*(IF($B$13&gt;0,IF(A228&gt;=$B$14,$B$13,0),0)+IF($B$15&gt;0,IF(A228&gt;=$B$16,$B$15,0),0)))))</f>
      </c>
      <c r="E228" s="3">
        <f>IF($B$22&lt;&gt;"Ready","",IF($B$6+78&gt;=$B$8,"",IF(A228&lt;$B$7,0,12*$B$12)))</f>
      </c>
      <c r="F228" s="3">
        <f>IF($B$22&lt;&gt;"Ready","",IF($B$6+78&gt;=$B$8,"",MAX(0,E228-D228)))</f>
      </c>
      <c r="G228" s="3">
        <f>IF($B$22&lt;&gt;"Ready","",IF($B$6+78&gt;=$B$8,"",MAX(0,B228*(1+$B$28)+C228-F228)))</f>
      </c>
      <c r="H228" s="3">
        <f>IF($B$22&lt;&gt;"Ready","",IF($B$6+78&gt;=$B$8,"",ROUND(IF(ABS((MAX(0,F228-(B228*(1+$B$28)+C228))*100)-(INT(MAX(0,F228-(B228*(1+$B$28)+C228))*100)+0.5))&lt;=MIN(0.0000001,4*2.220446049250313E-16*MAX(1,ABS(F228),ABS(B228*(1+$B$28)+C228))*100),(INT(MAX(0,F228-(B228*(1+$B$28)+C228))*100)+0.5),MAX(0,F228-(B228*(1+$B$28)+C228))*100),0)/100))</f>
      </c>
      <c r="I228" s="0">
        <f>IF($B$22&lt;&gt;"Ready","",IF($B$6+78&gt;=$B$8,"",IF(I227&lt;&gt;"",I227,IF(H228&gt;0,A228+1,""))))</f>
      </c>
    </row>
    <row r="229" ht="15" customHeight="1">
      <c r="A229" s="0">
        <f>IF($B$22&lt;&gt;"Ready","",IF($B$6+79&gt;=$B$8,"",$B$6+79))</f>
      </c>
      <c r="B229" s="3">
        <f>IF($B$22&lt;&gt;"Ready","",IF($B$6+79&gt;=$B$8,"",G228))</f>
      </c>
      <c r="C229" s="3">
        <f>IF($B$22&lt;&gt;"Ready","",IF($B$6+79&gt;=$B$8,"",IF(A229&lt;$B$7,12*($B$10+$B$11),0)))</f>
      </c>
      <c r="D229" s="3">
        <f>IF($B$22&lt;&gt;"Ready","",IF($B$6+79&gt;=$B$8,"",IF(A229&lt;$B$7,0,12*(IF($B$13&gt;0,IF(A229&gt;=$B$14,$B$13,0),0)+IF($B$15&gt;0,IF(A229&gt;=$B$16,$B$15,0),0)))))</f>
      </c>
      <c r="E229" s="3">
        <f>IF($B$22&lt;&gt;"Ready","",IF($B$6+79&gt;=$B$8,"",IF(A229&lt;$B$7,0,12*$B$12)))</f>
      </c>
      <c r="F229" s="3">
        <f>IF($B$22&lt;&gt;"Ready","",IF($B$6+79&gt;=$B$8,"",MAX(0,E229-D229)))</f>
      </c>
      <c r="G229" s="3">
        <f>IF($B$22&lt;&gt;"Ready","",IF($B$6+79&gt;=$B$8,"",MAX(0,B229*(1+$B$28)+C229-F229)))</f>
      </c>
      <c r="H229" s="3">
        <f>IF($B$22&lt;&gt;"Ready","",IF($B$6+79&gt;=$B$8,"",ROUND(IF(ABS((MAX(0,F229-(B229*(1+$B$28)+C229))*100)-(INT(MAX(0,F229-(B229*(1+$B$28)+C229))*100)+0.5))&lt;=MIN(0.0000001,4*2.220446049250313E-16*MAX(1,ABS(F229),ABS(B229*(1+$B$28)+C229))*100),(INT(MAX(0,F229-(B229*(1+$B$28)+C229))*100)+0.5),MAX(0,F229-(B229*(1+$B$28)+C229))*100),0)/100))</f>
      </c>
      <c r="I229" s="0">
        <f>IF($B$22&lt;&gt;"Ready","",IF($B$6+79&gt;=$B$8,"",IF(I228&lt;&gt;"",I228,IF(H229&gt;0,A229+1,""))))</f>
      </c>
    </row>
    <row r="230" ht="15" customHeight="1">
      <c r="A230" s="0">
        <f>IF($B$22&lt;&gt;"Ready","",IF($B$6+80&gt;=$B$8,"",$B$6+80))</f>
      </c>
      <c r="B230" s="3">
        <f>IF($B$22&lt;&gt;"Ready","",IF($B$6+80&gt;=$B$8,"",G229))</f>
      </c>
      <c r="C230" s="3">
        <f>IF($B$22&lt;&gt;"Ready","",IF($B$6+80&gt;=$B$8,"",IF(A230&lt;$B$7,12*($B$10+$B$11),0)))</f>
      </c>
      <c r="D230" s="3">
        <f>IF($B$22&lt;&gt;"Ready","",IF($B$6+80&gt;=$B$8,"",IF(A230&lt;$B$7,0,12*(IF($B$13&gt;0,IF(A230&gt;=$B$14,$B$13,0),0)+IF($B$15&gt;0,IF(A230&gt;=$B$16,$B$15,0),0)))))</f>
      </c>
      <c r="E230" s="3">
        <f>IF($B$22&lt;&gt;"Ready","",IF($B$6+80&gt;=$B$8,"",IF(A230&lt;$B$7,0,12*$B$12)))</f>
      </c>
      <c r="F230" s="3">
        <f>IF($B$22&lt;&gt;"Ready","",IF($B$6+80&gt;=$B$8,"",MAX(0,E230-D230)))</f>
      </c>
      <c r="G230" s="3">
        <f>IF($B$22&lt;&gt;"Ready","",IF($B$6+80&gt;=$B$8,"",MAX(0,B230*(1+$B$28)+C230-F230)))</f>
      </c>
      <c r="H230" s="3">
        <f>IF($B$22&lt;&gt;"Ready","",IF($B$6+80&gt;=$B$8,"",ROUND(IF(ABS((MAX(0,F230-(B230*(1+$B$28)+C230))*100)-(INT(MAX(0,F230-(B230*(1+$B$28)+C230))*100)+0.5))&lt;=MIN(0.0000001,4*2.220446049250313E-16*MAX(1,ABS(F230),ABS(B230*(1+$B$28)+C230))*100),(INT(MAX(0,F230-(B230*(1+$B$28)+C230))*100)+0.5),MAX(0,F230-(B230*(1+$B$28)+C230))*100),0)/100))</f>
      </c>
      <c r="I230" s="0">
        <f>IF($B$22&lt;&gt;"Ready","",IF($B$6+80&gt;=$B$8,"",IF(I229&lt;&gt;"",I229,IF(H230&gt;0,A230+1,""))))</f>
      </c>
    </row>
    <row r="231" ht="15" customHeight="1">
      <c r="A231" s="0">
        <f>IF($B$22&lt;&gt;"Ready","",IF($B$6+81&gt;=$B$8,"",$B$6+81))</f>
      </c>
      <c r="B231" s="3">
        <f>IF($B$22&lt;&gt;"Ready","",IF($B$6+81&gt;=$B$8,"",G230))</f>
      </c>
      <c r="C231" s="3">
        <f>IF($B$22&lt;&gt;"Ready","",IF($B$6+81&gt;=$B$8,"",IF(A231&lt;$B$7,12*($B$10+$B$11),0)))</f>
      </c>
      <c r="D231" s="3">
        <f>IF($B$22&lt;&gt;"Ready","",IF($B$6+81&gt;=$B$8,"",IF(A231&lt;$B$7,0,12*(IF($B$13&gt;0,IF(A231&gt;=$B$14,$B$13,0),0)+IF($B$15&gt;0,IF(A231&gt;=$B$16,$B$15,0),0)))))</f>
      </c>
      <c r="E231" s="3">
        <f>IF($B$22&lt;&gt;"Ready","",IF($B$6+81&gt;=$B$8,"",IF(A231&lt;$B$7,0,12*$B$12)))</f>
      </c>
      <c r="F231" s="3">
        <f>IF($B$22&lt;&gt;"Ready","",IF($B$6+81&gt;=$B$8,"",MAX(0,E231-D231)))</f>
      </c>
      <c r="G231" s="3">
        <f>IF($B$22&lt;&gt;"Ready","",IF($B$6+81&gt;=$B$8,"",MAX(0,B231*(1+$B$28)+C231-F231)))</f>
      </c>
      <c r="H231" s="3">
        <f>IF($B$22&lt;&gt;"Ready","",IF($B$6+81&gt;=$B$8,"",ROUND(IF(ABS((MAX(0,F231-(B231*(1+$B$28)+C231))*100)-(INT(MAX(0,F231-(B231*(1+$B$28)+C231))*100)+0.5))&lt;=MIN(0.0000001,4*2.220446049250313E-16*MAX(1,ABS(F231),ABS(B231*(1+$B$28)+C231))*100),(INT(MAX(0,F231-(B231*(1+$B$28)+C231))*100)+0.5),MAX(0,F231-(B231*(1+$B$28)+C231))*100),0)/100))</f>
      </c>
      <c r="I231" s="0">
        <f>IF($B$22&lt;&gt;"Ready","",IF($B$6+81&gt;=$B$8,"",IF(I230&lt;&gt;"",I230,IF(H231&gt;0,A231+1,""))))</f>
      </c>
    </row>
    <row r="232" ht="15" customHeight="1">
      <c r="A232" s="0">
        <f>IF($B$22&lt;&gt;"Ready","",IF($B$6+82&gt;=$B$8,"",$B$6+82))</f>
      </c>
      <c r="B232" s="3">
        <f>IF($B$22&lt;&gt;"Ready","",IF($B$6+82&gt;=$B$8,"",G231))</f>
      </c>
      <c r="C232" s="3">
        <f>IF($B$22&lt;&gt;"Ready","",IF($B$6+82&gt;=$B$8,"",IF(A232&lt;$B$7,12*($B$10+$B$11),0)))</f>
      </c>
      <c r="D232" s="3">
        <f>IF($B$22&lt;&gt;"Ready","",IF($B$6+82&gt;=$B$8,"",IF(A232&lt;$B$7,0,12*(IF($B$13&gt;0,IF(A232&gt;=$B$14,$B$13,0),0)+IF($B$15&gt;0,IF(A232&gt;=$B$16,$B$15,0),0)))))</f>
      </c>
      <c r="E232" s="3">
        <f>IF($B$22&lt;&gt;"Ready","",IF($B$6+82&gt;=$B$8,"",IF(A232&lt;$B$7,0,12*$B$12)))</f>
      </c>
      <c r="F232" s="3">
        <f>IF($B$22&lt;&gt;"Ready","",IF($B$6+82&gt;=$B$8,"",MAX(0,E232-D232)))</f>
      </c>
      <c r="G232" s="3">
        <f>IF($B$22&lt;&gt;"Ready","",IF($B$6+82&gt;=$B$8,"",MAX(0,B232*(1+$B$28)+C232-F232)))</f>
      </c>
      <c r="H232" s="3">
        <f>IF($B$22&lt;&gt;"Ready","",IF($B$6+82&gt;=$B$8,"",ROUND(IF(ABS((MAX(0,F232-(B232*(1+$B$28)+C232))*100)-(INT(MAX(0,F232-(B232*(1+$B$28)+C232))*100)+0.5))&lt;=MIN(0.0000001,4*2.220446049250313E-16*MAX(1,ABS(F232),ABS(B232*(1+$B$28)+C232))*100),(INT(MAX(0,F232-(B232*(1+$B$28)+C232))*100)+0.5),MAX(0,F232-(B232*(1+$B$28)+C232))*100),0)/100))</f>
      </c>
      <c r="I232" s="0">
        <f>IF($B$22&lt;&gt;"Ready","",IF($B$6+82&gt;=$B$8,"",IF(I231&lt;&gt;"",I231,IF(H232&gt;0,A232+1,""))))</f>
      </c>
    </row>
    <row r="233" ht="15" customHeight="1">
      <c r="A233" s="0">
        <f>IF($B$22&lt;&gt;"Ready","",IF($B$6+83&gt;=$B$8,"",$B$6+83))</f>
      </c>
      <c r="B233" s="3">
        <f>IF($B$22&lt;&gt;"Ready","",IF($B$6+83&gt;=$B$8,"",G232))</f>
      </c>
      <c r="C233" s="3">
        <f>IF($B$22&lt;&gt;"Ready","",IF($B$6+83&gt;=$B$8,"",IF(A233&lt;$B$7,12*($B$10+$B$11),0)))</f>
      </c>
      <c r="D233" s="3">
        <f>IF($B$22&lt;&gt;"Ready","",IF($B$6+83&gt;=$B$8,"",IF(A233&lt;$B$7,0,12*(IF($B$13&gt;0,IF(A233&gt;=$B$14,$B$13,0),0)+IF($B$15&gt;0,IF(A233&gt;=$B$16,$B$15,0),0)))))</f>
      </c>
      <c r="E233" s="3">
        <f>IF($B$22&lt;&gt;"Ready","",IF($B$6+83&gt;=$B$8,"",IF(A233&lt;$B$7,0,12*$B$12)))</f>
      </c>
      <c r="F233" s="3">
        <f>IF($B$22&lt;&gt;"Ready","",IF($B$6+83&gt;=$B$8,"",MAX(0,E233-D233)))</f>
      </c>
      <c r="G233" s="3">
        <f>IF($B$22&lt;&gt;"Ready","",IF($B$6+83&gt;=$B$8,"",MAX(0,B233*(1+$B$28)+C233-F233)))</f>
      </c>
      <c r="H233" s="3">
        <f>IF($B$22&lt;&gt;"Ready","",IF($B$6+83&gt;=$B$8,"",ROUND(IF(ABS((MAX(0,F233-(B233*(1+$B$28)+C233))*100)-(INT(MAX(0,F233-(B233*(1+$B$28)+C233))*100)+0.5))&lt;=MIN(0.0000001,4*2.220446049250313E-16*MAX(1,ABS(F233),ABS(B233*(1+$B$28)+C233))*100),(INT(MAX(0,F233-(B233*(1+$B$28)+C233))*100)+0.5),MAX(0,F233-(B233*(1+$B$28)+C233))*100),0)/100))</f>
      </c>
      <c r="I233" s="0">
        <f>IF($B$22&lt;&gt;"Ready","",IF($B$6+83&gt;=$B$8,"",IF(I232&lt;&gt;"",I232,IF(H233&gt;0,A233+1,""))))</f>
      </c>
    </row>
    <row r="234" ht="15" customHeight="1">
      <c r="A234" s="0">
        <f>IF($B$22&lt;&gt;"Ready","",IF($B$6+84&gt;=$B$8,"",$B$6+84))</f>
      </c>
      <c r="B234" s="3">
        <f>IF($B$22&lt;&gt;"Ready","",IF($B$6+84&gt;=$B$8,"",G233))</f>
      </c>
      <c r="C234" s="3">
        <f>IF($B$22&lt;&gt;"Ready","",IF($B$6+84&gt;=$B$8,"",IF(A234&lt;$B$7,12*($B$10+$B$11),0)))</f>
      </c>
      <c r="D234" s="3">
        <f>IF($B$22&lt;&gt;"Ready","",IF($B$6+84&gt;=$B$8,"",IF(A234&lt;$B$7,0,12*(IF($B$13&gt;0,IF(A234&gt;=$B$14,$B$13,0),0)+IF($B$15&gt;0,IF(A234&gt;=$B$16,$B$15,0),0)))))</f>
      </c>
      <c r="E234" s="3">
        <f>IF($B$22&lt;&gt;"Ready","",IF($B$6+84&gt;=$B$8,"",IF(A234&lt;$B$7,0,12*$B$12)))</f>
      </c>
      <c r="F234" s="3">
        <f>IF($B$22&lt;&gt;"Ready","",IF($B$6+84&gt;=$B$8,"",MAX(0,E234-D234)))</f>
      </c>
      <c r="G234" s="3">
        <f>IF($B$22&lt;&gt;"Ready","",IF($B$6+84&gt;=$B$8,"",MAX(0,B234*(1+$B$28)+C234-F234)))</f>
      </c>
      <c r="H234" s="3">
        <f>IF($B$22&lt;&gt;"Ready","",IF($B$6+84&gt;=$B$8,"",ROUND(IF(ABS((MAX(0,F234-(B234*(1+$B$28)+C234))*100)-(INT(MAX(0,F234-(B234*(1+$B$28)+C234))*100)+0.5))&lt;=MIN(0.0000001,4*2.220446049250313E-16*MAX(1,ABS(F234),ABS(B234*(1+$B$28)+C234))*100),(INT(MAX(0,F234-(B234*(1+$B$28)+C234))*100)+0.5),MAX(0,F234-(B234*(1+$B$28)+C234))*100),0)/100))</f>
      </c>
      <c r="I234" s="0">
        <f>IF($B$22&lt;&gt;"Ready","",IF($B$6+84&gt;=$B$8,"",IF(I233&lt;&gt;"",I233,IF(H234&gt;0,A234+1,""))))</f>
      </c>
    </row>
    <row r="235" ht="15" customHeight="1">
      <c r="A235" s="0">
        <f>IF($B$22&lt;&gt;"Ready","",IF($B$6+85&gt;=$B$8,"",$B$6+85))</f>
      </c>
      <c r="B235" s="3">
        <f>IF($B$22&lt;&gt;"Ready","",IF($B$6+85&gt;=$B$8,"",G234))</f>
      </c>
      <c r="C235" s="3">
        <f>IF($B$22&lt;&gt;"Ready","",IF($B$6+85&gt;=$B$8,"",IF(A235&lt;$B$7,12*($B$10+$B$11),0)))</f>
      </c>
      <c r="D235" s="3">
        <f>IF($B$22&lt;&gt;"Ready","",IF($B$6+85&gt;=$B$8,"",IF(A235&lt;$B$7,0,12*(IF($B$13&gt;0,IF(A235&gt;=$B$14,$B$13,0),0)+IF($B$15&gt;0,IF(A235&gt;=$B$16,$B$15,0),0)))))</f>
      </c>
      <c r="E235" s="3">
        <f>IF($B$22&lt;&gt;"Ready","",IF($B$6+85&gt;=$B$8,"",IF(A235&lt;$B$7,0,12*$B$12)))</f>
      </c>
      <c r="F235" s="3">
        <f>IF($B$22&lt;&gt;"Ready","",IF($B$6+85&gt;=$B$8,"",MAX(0,E235-D235)))</f>
      </c>
      <c r="G235" s="3">
        <f>IF($B$22&lt;&gt;"Ready","",IF($B$6+85&gt;=$B$8,"",MAX(0,B235*(1+$B$28)+C235-F235)))</f>
      </c>
      <c r="H235" s="3">
        <f>IF($B$22&lt;&gt;"Ready","",IF($B$6+85&gt;=$B$8,"",ROUND(IF(ABS((MAX(0,F235-(B235*(1+$B$28)+C235))*100)-(INT(MAX(0,F235-(B235*(1+$B$28)+C235))*100)+0.5))&lt;=MIN(0.0000001,4*2.220446049250313E-16*MAX(1,ABS(F235),ABS(B235*(1+$B$28)+C235))*100),(INT(MAX(0,F235-(B235*(1+$B$28)+C235))*100)+0.5),MAX(0,F235-(B235*(1+$B$28)+C235))*100),0)/100))</f>
      </c>
      <c r="I235" s="0">
        <f>IF($B$22&lt;&gt;"Ready","",IF($B$6+85&gt;=$B$8,"",IF(I234&lt;&gt;"",I234,IF(H235&gt;0,A235+1,""))))</f>
      </c>
    </row>
    <row r="236" ht="15" customHeight="1">
      <c r="A236" s="0">
        <f>IF($B$22&lt;&gt;"Ready","",IF($B$6+86&gt;=$B$8,"",$B$6+86))</f>
      </c>
      <c r="B236" s="3">
        <f>IF($B$22&lt;&gt;"Ready","",IF($B$6+86&gt;=$B$8,"",G235))</f>
      </c>
      <c r="C236" s="3">
        <f>IF($B$22&lt;&gt;"Ready","",IF($B$6+86&gt;=$B$8,"",IF(A236&lt;$B$7,12*($B$10+$B$11),0)))</f>
      </c>
      <c r="D236" s="3">
        <f>IF($B$22&lt;&gt;"Ready","",IF($B$6+86&gt;=$B$8,"",IF(A236&lt;$B$7,0,12*(IF($B$13&gt;0,IF(A236&gt;=$B$14,$B$13,0),0)+IF($B$15&gt;0,IF(A236&gt;=$B$16,$B$15,0),0)))))</f>
      </c>
      <c r="E236" s="3">
        <f>IF($B$22&lt;&gt;"Ready","",IF($B$6+86&gt;=$B$8,"",IF(A236&lt;$B$7,0,12*$B$12)))</f>
      </c>
      <c r="F236" s="3">
        <f>IF($B$22&lt;&gt;"Ready","",IF($B$6+86&gt;=$B$8,"",MAX(0,E236-D236)))</f>
      </c>
      <c r="G236" s="3">
        <f>IF($B$22&lt;&gt;"Ready","",IF($B$6+86&gt;=$B$8,"",MAX(0,B236*(1+$B$28)+C236-F236)))</f>
      </c>
      <c r="H236" s="3">
        <f>IF($B$22&lt;&gt;"Ready","",IF($B$6+86&gt;=$B$8,"",ROUND(IF(ABS((MAX(0,F236-(B236*(1+$B$28)+C236))*100)-(INT(MAX(0,F236-(B236*(1+$B$28)+C236))*100)+0.5))&lt;=MIN(0.0000001,4*2.220446049250313E-16*MAX(1,ABS(F236),ABS(B236*(1+$B$28)+C236))*100),(INT(MAX(0,F236-(B236*(1+$B$28)+C236))*100)+0.5),MAX(0,F236-(B236*(1+$B$28)+C236))*100),0)/100))</f>
      </c>
      <c r="I236" s="0">
        <f>IF($B$22&lt;&gt;"Ready","",IF($B$6+86&gt;=$B$8,"",IF(I235&lt;&gt;"",I235,IF(H236&gt;0,A236+1,""))))</f>
      </c>
    </row>
    <row r="237" ht="15" customHeight="1">
      <c r="A237" s="0">
        <f>IF($B$22&lt;&gt;"Ready","",IF($B$6+87&gt;=$B$8,"",$B$6+87))</f>
      </c>
      <c r="B237" s="3">
        <f>IF($B$22&lt;&gt;"Ready","",IF($B$6+87&gt;=$B$8,"",G236))</f>
      </c>
      <c r="C237" s="3">
        <f>IF($B$22&lt;&gt;"Ready","",IF($B$6+87&gt;=$B$8,"",IF(A237&lt;$B$7,12*($B$10+$B$11),0)))</f>
      </c>
      <c r="D237" s="3">
        <f>IF($B$22&lt;&gt;"Ready","",IF($B$6+87&gt;=$B$8,"",IF(A237&lt;$B$7,0,12*(IF($B$13&gt;0,IF(A237&gt;=$B$14,$B$13,0),0)+IF($B$15&gt;0,IF(A237&gt;=$B$16,$B$15,0),0)))))</f>
      </c>
      <c r="E237" s="3">
        <f>IF($B$22&lt;&gt;"Ready","",IF($B$6+87&gt;=$B$8,"",IF(A237&lt;$B$7,0,12*$B$12)))</f>
      </c>
      <c r="F237" s="3">
        <f>IF($B$22&lt;&gt;"Ready","",IF($B$6+87&gt;=$B$8,"",MAX(0,E237-D237)))</f>
      </c>
      <c r="G237" s="3">
        <f>IF($B$22&lt;&gt;"Ready","",IF($B$6+87&gt;=$B$8,"",MAX(0,B237*(1+$B$28)+C237-F237)))</f>
      </c>
      <c r="H237" s="3">
        <f>IF($B$22&lt;&gt;"Ready","",IF($B$6+87&gt;=$B$8,"",ROUND(IF(ABS((MAX(0,F237-(B237*(1+$B$28)+C237))*100)-(INT(MAX(0,F237-(B237*(1+$B$28)+C237))*100)+0.5))&lt;=MIN(0.0000001,4*2.220446049250313E-16*MAX(1,ABS(F237),ABS(B237*(1+$B$28)+C237))*100),(INT(MAX(0,F237-(B237*(1+$B$28)+C237))*100)+0.5),MAX(0,F237-(B237*(1+$B$28)+C237))*100),0)/100))</f>
      </c>
      <c r="I237" s="0">
        <f>IF($B$22&lt;&gt;"Ready","",IF($B$6+87&gt;=$B$8,"",IF(I236&lt;&gt;"",I236,IF(H237&gt;0,A237+1,""))))</f>
      </c>
    </row>
    <row r="238" ht="15" customHeight="1">
      <c r="A238" s="0">
        <f>IF($B$22&lt;&gt;"Ready","",IF($B$6+88&gt;=$B$8,"",$B$6+88))</f>
      </c>
      <c r="B238" s="3">
        <f>IF($B$22&lt;&gt;"Ready","",IF($B$6+88&gt;=$B$8,"",G237))</f>
      </c>
      <c r="C238" s="3">
        <f>IF($B$22&lt;&gt;"Ready","",IF($B$6+88&gt;=$B$8,"",IF(A238&lt;$B$7,12*($B$10+$B$11),0)))</f>
      </c>
      <c r="D238" s="3">
        <f>IF($B$22&lt;&gt;"Ready","",IF($B$6+88&gt;=$B$8,"",IF(A238&lt;$B$7,0,12*(IF($B$13&gt;0,IF(A238&gt;=$B$14,$B$13,0),0)+IF($B$15&gt;0,IF(A238&gt;=$B$16,$B$15,0),0)))))</f>
      </c>
      <c r="E238" s="3">
        <f>IF($B$22&lt;&gt;"Ready","",IF($B$6+88&gt;=$B$8,"",IF(A238&lt;$B$7,0,12*$B$12)))</f>
      </c>
      <c r="F238" s="3">
        <f>IF($B$22&lt;&gt;"Ready","",IF($B$6+88&gt;=$B$8,"",MAX(0,E238-D238)))</f>
      </c>
      <c r="G238" s="3">
        <f>IF($B$22&lt;&gt;"Ready","",IF($B$6+88&gt;=$B$8,"",MAX(0,B238*(1+$B$28)+C238-F238)))</f>
      </c>
      <c r="H238" s="3">
        <f>IF($B$22&lt;&gt;"Ready","",IF($B$6+88&gt;=$B$8,"",ROUND(IF(ABS((MAX(0,F238-(B238*(1+$B$28)+C238))*100)-(INT(MAX(0,F238-(B238*(1+$B$28)+C238))*100)+0.5))&lt;=MIN(0.0000001,4*2.220446049250313E-16*MAX(1,ABS(F238),ABS(B238*(1+$B$28)+C238))*100),(INT(MAX(0,F238-(B238*(1+$B$28)+C238))*100)+0.5),MAX(0,F238-(B238*(1+$B$28)+C238))*100),0)/100))</f>
      </c>
      <c r="I238" s="0">
        <f>IF($B$22&lt;&gt;"Ready","",IF($B$6+88&gt;=$B$8,"",IF(I237&lt;&gt;"",I237,IF(H238&gt;0,A238+1,""))))</f>
      </c>
    </row>
    <row r="239" ht="15" customHeight="1">
      <c r="A239" s="0">
        <f>IF($B$22&lt;&gt;"Ready","",IF($B$6+89&gt;=$B$8,"",$B$6+89))</f>
      </c>
      <c r="B239" s="3">
        <f>IF($B$22&lt;&gt;"Ready","",IF($B$6+89&gt;=$B$8,"",G238))</f>
      </c>
      <c r="C239" s="3">
        <f>IF($B$22&lt;&gt;"Ready","",IF($B$6+89&gt;=$B$8,"",IF(A239&lt;$B$7,12*($B$10+$B$11),0)))</f>
      </c>
      <c r="D239" s="3">
        <f>IF($B$22&lt;&gt;"Ready","",IF($B$6+89&gt;=$B$8,"",IF(A239&lt;$B$7,0,12*(IF($B$13&gt;0,IF(A239&gt;=$B$14,$B$13,0),0)+IF($B$15&gt;0,IF(A239&gt;=$B$16,$B$15,0),0)))))</f>
      </c>
      <c r="E239" s="3">
        <f>IF($B$22&lt;&gt;"Ready","",IF($B$6+89&gt;=$B$8,"",IF(A239&lt;$B$7,0,12*$B$12)))</f>
      </c>
      <c r="F239" s="3">
        <f>IF($B$22&lt;&gt;"Ready","",IF($B$6+89&gt;=$B$8,"",MAX(0,E239-D239)))</f>
      </c>
      <c r="G239" s="3">
        <f>IF($B$22&lt;&gt;"Ready","",IF($B$6+89&gt;=$B$8,"",MAX(0,B239*(1+$B$28)+C239-F239)))</f>
      </c>
      <c r="H239" s="3">
        <f>IF($B$22&lt;&gt;"Ready","",IF($B$6+89&gt;=$B$8,"",ROUND(IF(ABS((MAX(0,F239-(B239*(1+$B$28)+C239))*100)-(INT(MAX(0,F239-(B239*(1+$B$28)+C239))*100)+0.5))&lt;=MIN(0.0000001,4*2.220446049250313E-16*MAX(1,ABS(F239),ABS(B239*(1+$B$28)+C239))*100),(INT(MAX(0,F239-(B239*(1+$B$28)+C239))*100)+0.5),MAX(0,F239-(B239*(1+$B$28)+C239))*100),0)/100))</f>
      </c>
      <c r="I239" s="0">
        <f>IF($B$22&lt;&gt;"Ready","",IF($B$6+89&gt;=$B$8,"",IF(I238&lt;&gt;"",I238,IF(H239&gt;0,A239+1,""))))</f>
      </c>
    </row>
    <row r="240" ht="15" customHeight="1">
      <c r="A240" s="0">
        <f>IF($B$22&lt;&gt;"Ready","",IF($B$6+90&gt;=$B$8,"",$B$6+90))</f>
      </c>
      <c r="B240" s="3">
        <f>IF($B$22&lt;&gt;"Ready","",IF($B$6+90&gt;=$B$8,"",G239))</f>
      </c>
      <c r="C240" s="3">
        <f>IF($B$22&lt;&gt;"Ready","",IF($B$6+90&gt;=$B$8,"",IF(A240&lt;$B$7,12*($B$10+$B$11),0)))</f>
      </c>
      <c r="D240" s="3">
        <f>IF($B$22&lt;&gt;"Ready","",IF($B$6+90&gt;=$B$8,"",IF(A240&lt;$B$7,0,12*(IF($B$13&gt;0,IF(A240&gt;=$B$14,$B$13,0),0)+IF($B$15&gt;0,IF(A240&gt;=$B$16,$B$15,0),0)))))</f>
      </c>
      <c r="E240" s="3">
        <f>IF($B$22&lt;&gt;"Ready","",IF($B$6+90&gt;=$B$8,"",IF(A240&lt;$B$7,0,12*$B$12)))</f>
      </c>
      <c r="F240" s="3">
        <f>IF($B$22&lt;&gt;"Ready","",IF($B$6+90&gt;=$B$8,"",MAX(0,E240-D240)))</f>
      </c>
      <c r="G240" s="3">
        <f>IF($B$22&lt;&gt;"Ready","",IF($B$6+90&gt;=$B$8,"",MAX(0,B240*(1+$B$28)+C240-F240)))</f>
      </c>
      <c r="H240" s="3">
        <f>IF($B$22&lt;&gt;"Ready","",IF($B$6+90&gt;=$B$8,"",ROUND(IF(ABS((MAX(0,F240-(B240*(1+$B$28)+C240))*100)-(INT(MAX(0,F240-(B240*(1+$B$28)+C240))*100)+0.5))&lt;=MIN(0.0000001,4*2.220446049250313E-16*MAX(1,ABS(F240),ABS(B240*(1+$B$28)+C240))*100),(INT(MAX(0,F240-(B240*(1+$B$28)+C240))*100)+0.5),MAX(0,F240-(B240*(1+$B$28)+C240))*100),0)/100))</f>
      </c>
      <c r="I240" s="0">
        <f>IF($B$22&lt;&gt;"Ready","",IF($B$6+90&gt;=$B$8,"",IF(I239&lt;&gt;"",I239,IF(H240&gt;0,A240+1,""))))</f>
      </c>
    </row>
    <row r="241" ht="15" customHeight="1">
      <c r="A241" s="0">
        <f>IF($B$22&lt;&gt;"Ready","",IF($B$6+91&gt;=$B$8,"",$B$6+91))</f>
      </c>
      <c r="B241" s="3">
        <f>IF($B$22&lt;&gt;"Ready","",IF($B$6+91&gt;=$B$8,"",G240))</f>
      </c>
      <c r="C241" s="3">
        <f>IF($B$22&lt;&gt;"Ready","",IF($B$6+91&gt;=$B$8,"",IF(A241&lt;$B$7,12*($B$10+$B$11),0)))</f>
      </c>
      <c r="D241" s="3">
        <f>IF($B$22&lt;&gt;"Ready","",IF($B$6+91&gt;=$B$8,"",IF(A241&lt;$B$7,0,12*(IF($B$13&gt;0,IF(A241&gt;=$B$14,$B$13,0),0)+IF($B$15&gt;0,IF(A241&gt;=$B$16,$B$15,0),0)))))</f>
      </c>
      <c r="E241" s="3">
        <f>IF($B$22&lt;&gt;"Ready","",IF($B$6+91&gt;=$B$8,"",IF(A241&lt;$B$7,0,12*$B$12)))</f>
      </c>
      <c r="F241" s="3">
        <f>IF($B$22&lt;&gt;"Ready","",IF($B$6+91&gt;=$B$8,"",MAX(0,E241-D241)))</f>
      </c>
      <c r="G241" s="3">
        <f>IF($B$22&lt;&gt;"Ready","",IF($B$6+91&gt;=$B$8,"",MAX(0,B241*(1+$B$28)+C241-F241)))</f>
      </c>
      <c r="H241" s="3">
        <f>IF($B$22&lt;&gt;"Ready","",IF($B$6+91&gt;=$B$8,"",ROUND(IF(ABS((MAX(0,F241-(B241*(1+$B$28)+C241))*100)-(INT(MAX(0,F241-(B241*(1+$B$28)+C241))*100)+0.5))&lt;=MIN(0.0000001,4*2.220446049250313E-16*MAX(1,ABS(F241),ABS(B241*(1+$B$28)+C241))*100),(INT(MAX(0,F241-(B241*(1+$B$28)+C241))*100)+0.5),MAX(0,F241-(B241*(1+$B$28)+C241))*100),0)/100))</f>
      </c>
      <c r="I241" s="0">
        <f>IF($B$22&lt;&gt;"Ready","",IF($B$6+91&gt;=$B$8,"",IF(I240&lt;&gt;"",I240,IF(H241&gt;0,A241+1,""))))</f>
      </c>
    </row>
    <row r="242" ht="15" customHeight="1">
      <c r="A242" s="0">
        <f>IF($B$22&lt;&gt;"Ready","",IF($B$6+92&gt;=$B$8,"",$B$6+92))</f>
      </c>
      <c r="B242" s="3">
        <f>IF($B$22&lt;&gt;"Ready","",IF($B$6+92&gt;=$B$8,"",G241))</f>
      </c>
      <c r="C242" s="3">
        <f>IF($B$22&lt;&gt;"Ready","",IF($B$6+92&gt;=$B$8,"",IF(A242&lt;$B$7,12*($B$10+$B$11),0)))</f>
      </c>
      <c r="D242" s="3">
        <f>IF($B$22&lt;&gt;"Ready","",IF($B$6+92&gt;=$B$8,"",IF(A242&lt;$B$7,0,12*(IF($B$13&gt;0,IF(A242&gt;=$B$14,$B$13,0),0)+IF($B$15&gt;0,IF(A242&gt;=$B$16,$B$15,0),0)))))</f>
      </c>
      <c r="E242" s="3">
        <f>IF($B$22&lt;&gt;"Ready","",IF($B$6+92&gt;=$B$8,"",IF(A242&lt;$B$7,0,12*$B$12)))</f>
      </c>
      <c r="F242" s="3">
        <f>IF($B$22&lt;&gt;"Ready","",IF($B$6+92&gt;=$B$8,"",MAX(0,E242-D242)))</f>
      </c>
      <c r="G242" s="3">
        <f>IF($B$22&lt;&gt;"Ready","",IF($B$6+92&gt;=$B$8,"",MAX(0,B242*(1+$B$28)+C242-F242)))</f>
      </c>
      <c r="H242" s="3">
        <f>IF($B$22&lt;&gt;"Ready","",IF($B$6+92&gt;=$B$8,"",ROUND(IF(ABS((MAX(0,F242-(B242*(1+$B$28)+C242))*100)-(INT(MAX(0,F242-(B242*(1+$B$28)+C242))*100)+0.5))&lt;=MIN(0.0000001,4*2.220446049250313E-16*MAX(1,ABS(F242),ABS(B242*(1+$B$28)+C242))*100),(INT(MAX(0,F242-(B242*(1+$B$28)+C242))*100)+0.5),MAX(0,F242-(B242*(1+$B$28)+C242))*100),0)/100))</f>
      </c>
      <c r="I242" s="0">
        <f>IF($B$22&lt;&gt;"Ready","",IF($B$6+92&gt;=$B$8,"",IF(I241&lt;&gt;"",I241,IF(H242&gt;0,A242+1,""))))</f>
      </c>
    </row>
    <row r="243" ht="15" customHeight="1">
      <c r="A243" s="0">
        <f>IF($B$22&lt;&gt;"Ready","",IF($B$6+93&gt;=$B$8,"",$B$6+93))</f>
      </c>
      <c r="B243" s="3">
        <f>IF($B$22&lt;&gt;"Ready","",IF($B$6+93&gt;=$B$8,"",G242))</f>
      </c>
      <c r="C243" s="3">
        <f>IF($B$22&lt;&gt;"Ready","",IF($B$6+93&gt;=$B$8,"",IF(A243&lt;$B$7,12*($B$10+$B$11),0)))</f>
      </c>
      <c r="D243" s="3">
        <f>IF($B$22&lt;&gt;"Ready","",IF($B$6+93&gt;=$B$8,"",IF(A243&lt;$B$7,0,12*(IF($B$13&gt;0,IF(A243&gt;=$B$14,$B$13,0),0)+IF($B$15&gt;0,IF(A243&gt;=$B$16,$B$15,0),0)))))</f>
      </c>
      <c r="E243" s="3">
        <f>IF($B$22&lt;&gt;"Ready","",IF($B$6+93&gt;=$B$8,"",IF(A243&lt;$B$7,0,12*$B$12)))</f>
      </c>
      <c r="F243" s="3">
        <f>IF($B$22&lt;&gt;"Ready","",IF($B$6+93&gt;=$B$8,"",MAX(0,E243-D243)))</f>
      </c>
      <c r="G243" s="3">
        <f>IF($B$22&lt;&gt;"Ready","",IF($B$6+93&gt;=$B$8,"",MAX(0,B243*(1+$B$28)+C243-F243)))</f>
      </c>
      <c r="H243" s="3">
        <f>IF($B$22&lt;&gt;"Ready","",IF($B$6+93&gt;=$B$8,"",ROUND(IF(ABS((MAX(0,F243-(B243*(1+$B$28)+C243))*100)-(INT(MAX(0,F243-(B243*(1+$B$28)+C243))*100)+0.5))&lt;=MIN(0.0000001,4*2.220446049250313E-16*MAX(1,ABS(F243),ABS(B243*(1+$B$28)+C243))*100),(INT(MAX(0,F243-(B243*(1+$B$28)+C243))*100)+0.5),MAX(0,F243-(B243*(1+$B$28)+C243))*100),0)/100))</f>
      </c>
      <c r="I243" s="0">
        <f>IF($B$22&lt;&gt;"Ready","",IF($B$6+93&gt;=$B$8,"",IF(I242&lt;&gt;"",I242,IF(H243&gt;0,A243+1,""))))</f>
      </c>
    </row>
    <row r="244" ht="15" customHeight="1">
      <c r="A244" s="0">
        <f>IF($B$22&lt;&gt;"Ready","",IF($B$6+94&gt;=$B$8,"",$B$6+94))</f>
      </c>
      <c r="B244" s="3">
        <f>IF($B$22&lt;&gt;"Ready","",IF($B$6+94&gt;=$B$8,"",G243))</f>
      </c>
      <c r="C244" s="3">
        <f>IF($B$22&lt;&gt;"Ready","",IF($B$6+94&gt;=$B$8,"",IF(A244&lt;$B$7,12*($B$10+$B$11),0)))</f>
      </c>
      <c r="D244" s="3">
        <f>IF($B$22&lt;&gt;"Ready","",IF($B$6+94&gt;=$B$8,"",IF(A244&lt;$B$7,0,12*(IF($B$13&gt;0,IF(A244&gt;=$B$14,$B$13,0),0)+IF($B$15&gt;0,IF(A244&gt;=$B$16,$B$15,0),0)))))</f>
      </c>
      <c r="E244" s="3">
        <f>IF($B$22&lt;&gt;"Ready","",IF($B$6+94&gt;=$B$8,"",IF(A244&lt;$B$7,0,12*$B$12)))</f>
      </c>
      <c r="F244" s="3">
        <f>IF($B$22&lt;&gt;"Ready","",IF($B$6+94&gt;=$B$8,"",MAX(0,E244-D244)))</f>
      </c>
      <c r="G244" s="3">
        <f>IF($B$22&lt;&gt;"Ready","",IF($B$6+94&gt;=$B$8,"",MAX(0,B244*(1+$B$28)+C244-F244)))</f>
      </c>
      <c r="H244" s="3">
        <f>IF($B$22&lt;&gt;"Ready","",IF($B$6+94&gt;=$B$8,"",ROUND(IF(ABS((MAX(0,F244-(B244*(1+$B$28)+C244))*100)-(INT(MAX(0,F244-(B244*(1+$B$28)+C244))*100)+0.5))&lt;=MIN(0.0000001,4*2.220446049250313E-16*MAX(1,ABS(F244),ABS(B244*(1+$B$28)+C244))*100),(INT(MAX(0,F244-(B244*(1+$B$28)+C244))*100)+0.5),MAX(0,F244-(B244*(1+$B$28)+C244))*100),0)/100))</f>
      </c>
      <c r="I244" s="0">
        <f>IF($B$22&lt;&gt;"Ready","",IF($B$6+94&gt;=$B$8,"",IF(I243&lt;&gt;"",I243,IF(H244&gt;0,A244+1,""))))</f>
      </c>
    </row>
    <row r="245" ht="15" customHeight="1">
      <c r="A245" s="0">
        <f>IF($B$22&lt;&gt;"Ready","",IF($B$6+95&gt;=$B$8,"",$B$6+95))</f>
      </c>
      <c r="B245" s="3">
        <f>IF($B$22&lt;&gt;"Ready","",IF($B$6+95&gt;=$B$8,"",G244))</f>
      </c>
      <c r="C245" s="3">
        <f>IF($B$22&lt;&gt;"Ready","",IF($B$6+95&gt;=$B$8,"",IF(A245&lt;$B$7,12*($B$10+$B$11),0)))</f>
      </c>
      <c r="D245" s="3">
        <f>IF($B$22&lt;&gt;"Ready","",IF($B$6+95&gt;=$B$8,"",IF(A245&lt;$B$7,0,12*(IF($B$13&gt;0,IF(A245&gt;=$B$14,$B$13,0),0)+IF($B$15&gt;0,IF(A245&gt;=$B$16,$B$15,0),0)))))</f>
      </c>
      <c r="E245" s="3">
        <f>IF($B$22&lt;&gt;"Ready","",IF($B$6+95&gt;=$B$8,"",IF(A245&lt;$B$7,0,12*$B$12)))</f>
      </c>
      <c r="F245" s="3">
        <f>IF($B$22&lt;&gt;"Ready","",IF($B$6+95&gt;=$B$8,"",MAX(0,E245-D245)))</f>
      </c>
      <c r="G245" s="3">
        <f>IF($B$22&lt;&gt;"Ready","",IF($B$6+95&gt;=$B$8,"",MAX(0,B245*(1+$B$28)+C245-F245)))</f>
      </c>
      <c r="H245" s="3">
        <f>IF($B$22&lt;&gt;"Ready","",IF($B$6+95&gt;=$B$8,"",ROUND(IF(ABS((MAX(0,F245-(B245*(1+$B$28)+C245))*100)-(INT(MAX(0,F245-(B245*(1+$B$28)+C245))*100)+0.5))&lt;=MIN(0.0000001,4*2.220446049250313E-16*MAX(1,ABS(F245),ABS(B245*(1+$B$28)+C245))*100),(INT(MAX(0,F245-(B245*(1+$B$28)+C245))*100)+0.5),MAX(0,F245-(B245*(1+$B$28)+C245))*100),0)/100))</f>
      </c>
      <c r="I245" s="0">
        <f>IF($B$22&lt;&gt;"Ready","",IF($B$6+95&gt;=$B$8,"",IF(I244&lt;&gt;"",I244,IF(H245&gt;0,A245+1,""))))</f>
      </c>
    </row>
    <row r="246" ht="15" customHeight="1">
      <c r="A246" s="0">
        <f>IF($B$22&lt;&gt;"Ready","",IF($B$6+96&gt;=$B$8,"",$B$6+96))</f>
      </c>
      <c r="B246" s="3">
        <f>IF($B$22&lt;&gt;"Ready","",IF($B$6+96&gt;=$B$8,"",G245))</f>
      </c>
      <c r="C246" s="3">
        <f>IF($B$22&lt;&gt;"Ready","",IF($B$6+96&gt;=$B$8,"",IF(A246&lt;$B$7,12*($B$10+$B$11),0)))</f>
      </c>
      <c r="D246" s="3">
        <f>IF($B$22&lt;&gt;"Ready","",IF($B$6+96&gt;=$B$8,"",IF(A246&lt;$B$7,0,12*(IF($B$13&gt;0,IF(A246&gt;=$B$14,$B$13,0),0)+IF($B$15&gt;0,IF(A246&gt;=$B$16,$B$15,0),0)))))</f>
      </c>
      <c r="E246" s="3">
        <f>IF($B$22&lt;&gt;"Ready","",IF($B$6+96&gt;=$B$8,"",IF(A246&lt;$B$7,0,12*$B$12)))</f>
      </c>
      <c r="F246" s="3">
        <f>IF($B$22&lt;&gt;"Ready","",IF($B$6+96&gt;=$B$8,"",MAX(0,E246-D246)))</f>
      </c>
      <c r="G246" s="3">
        <f>IF($B$22&lt;&gt;"Ready","",IF($B$6+96&gt;=$B$8,"",MAX(0,B246*(1+$B$28)+C246-F246)))</f>
      </c>
      <c r="H246" s="3">
        <f>IF($B$22&lt;&gt;"Ready","",IF($B$6+96&gt;=$B$8,"",ROUND(IF(ABS((MAX(0,F246-(B246*(1+$B$28)+C246))*100)-(INT(MAX(0,F246-(B246*(1+$B$28)+C246))*100)+0.5))&lt;=MIN(0.0000001,4*2.220446049250313E-16*MAX(1,ABS(F246),ABS(B246*(1+$B$28)+C246))*100),(INT(MAX(0,F246-(B246*(1+$B$28)+C246))*100)+0.5),MAX(0,F246-(B246*(1+$B$28)+C246))*100),0)/100))</f>
      </c>
      <c r="I246" s="0">
        <f>IF($B$22&lt;&gt;"Ready","",IF($B$6+96&gt;=$B$8,"",IF(I245&lt;&gt;"",I245,IF(H246&gt;0,A246+1,""))))</f>
      </c>
    </row>
    <row r="247" ht="15" customHeight="1">
      <c r="A247" s="0">
        <f>IF($B$22&lt;&gt;"Ready","",IF($B$6+97&gt;=$B$8,"",$B$6+97))</f>
      </c>
      <c r="B247" s="3">
        <f>IF($B$22&lt;&gt;"Ready","",IF($B$6+97&gt;=$B$8,"",G246))</f>
      </c>
      <c r="C247" s="3">
        <f>IF($B$22&lt;&gt;"Ready","",IF($B$6+97&gt;=$B$8,"",IF(A247&lt;$B$7,12*($B$10+$B$11),0)))</f>
      </c>
      <c r="D247" s="3">
        <f>IF($B$22&lt;&gt;"Ready","",IF($B$6+97&gt;=$B$8,"",IF(A247&lt;$B$7,0,12*(IF($B$13&gt;0,IF(A247&gt;=$B$14,$B$13,0),0)+IF($B$15&gt;0,IF(A247&gt;=$B$16,$B$15,0),0)))))</f>
      </c>
      <c r="E247" s="3">
        <f>IF($B$22&lt;&gt;"Ready","",IF($B$6+97&gt;=$B$8,"",IF(A247&lt;$B$7,0,12*$B$12)))</f>
      </c>
      <c r="F247" s="3">
        <f>IF($B$22&lt;&gt;"Ready","",IF($B$6+97&gt;=$B$8,"",MAX(0,E247-D247)))</f>
      </c>
      <c r="G247" s="3">
        <f>IF($B$22&lt;&gt;"Ready","",IF($B$6+97&gt;=$B$8,"",MAX(0,B247*(1+$B$28)+C247-F247)))</f>
      </c>
      <c r="H247" s="3">
        <f>IF($B$22&lt;&gt;"Ready","",IF($B$6+97&gt;=$B$8,"",ROUND(IF(ABS((MAX(0,F247-(B247*(1+$B$28)+C247))*100)-(INT(MAX(0,F247-(B247*(1+$B$28)+C247))*100)+0.5))&lt;=MIN(0.0000001,4*2.220446049250313E-16*MAX(1,ABS(F247),ABS(B247*(1+$B$28)+C247))*100),(INT(MAX(0,F247-(B247*(1+$B$28)+C247))*100)+0.5),MAX(0,F247-(B247*(1+$B$28)+C247))*100),0)/100))</f>
      </c>
      <c r="I247" s="0">
        <f>IF($B$22&lt;&gt;"Ready","",IF($B$6+97&gt;=$B$8,"",IF(I246&lt;&gt;"",I246,IF(H247&gt;0,A247+1,""))))</f>
      </c>
    </row>
    <row r="248" ht="15" customHeight="1">
      <c r="A248" s="0">
        <f>IF($B$22&lt;&gt;"Ready","",IF($B$6+98&gt;=$B$8,"",$B$6+98))</f>
      </c>
      <c r="B248" s="3">
        <f>IF($B$22&lt;&gt;"Ready","",IF($B$6+98&gt;=$B$8,"",G247))</f>
      </c>
      <c r="C248" s="3">
        <f>IF($B$22&lt;&gt;"Ready","",IF($B$6+98&gt;=$B$8,"",IF(A248&lt;$B$7,12*($B$10+$B$11),0)))</f>
      </c>
      <c r="D248" s="3">
        <f>IF($B$22&lt;&gt;"Ready","",IF($B$6+98&gt;=$B$8,"",IF(A248&lt;$B$7,0,12*(IF($B$13&gt;0,IF(A248&gt;=$B$14,$B$13,0),0)+IF($B$15&gt;0,IF(A248&gt;=$B$16,$B$15,0),0)))))</f>
      </c>
      <c r="E248" s="3">
        <f>IF($B$22&lt;&gt;"Ready","",IF($B$6+98&gt;=$B$8,"",IF(A248&lt;$B$7,0,12*$B$12)))</f>
      </c>
      <c r="F248" s="3">
        <f>IF($B$22&lt;&gt;"Ready","",IF($B$6+98&gt;=$B$8,"",MAX(0,E248-D248)))</f>
      </c>
      <c r="G248" s="3">
        <f>IF($B$22&lt;&gt;"Ready","",IF($B$6+98&gt;=$B$8,"",MAX(0,B248*(1+$B$28)+C248-F248)))</f>
      </c>
      <c r="H248" s="3">
        <f>IF($B$22&lt;&gt;"Ready","",IF($B$6+98&gt;=$B$8,"",ROUND(IF(ABS((MAX(0,F248-(B248*(1+$B$28)+C248))*100)-(INT(MAX(0,F248-(B248*(1+$B$28)+C248))*100)+0.5))&lt;=MIN(0.0000001,4*2.220446049250313E-16*MAX(1,ABS(F248),ABS(B248*(1+$B$28)+C248))*100),(INT(MAX(0,F248-(B248*(1+$B$28)+C248))*100)+0.5),MAX(0,F248-(B248*(1+$B$28)+C248))*100),0)/100))</f>
      </c>
      <c r="I248" s="0">
        <f>IF($B$22&lt;&gt;"Ready","",IF($B$6+98&gt;=$B$8,"",IF(I247&lt;&gt;"",I247,IF(H248&gt;0,A248+1,""))))</f>
      </c>
    </row>
    <row r="249" ht="15" customHeight="1">
      <c r="A249" s="0">
        <f>IF($B$22&lt;&gt;"Ready","",IF($B$6+99&gt;=$B$8,"",$B$6+99))</f>
      </c>
      <c r="B249" s="3">
        <f>IF($B$22&lt;&gt;"Ready","",IF($B$6+99&gt;=$B$8,"",G248))</f>
      </c>
      <c r="C249" s="3">
        <f>IF($B$22&lt;&gt;"Ready","",IF($B$6+99&gt;=$B$8,"",IF(A249&lt;$B$7,12*($B$10+$B$11),0)))</f>
      </c>
      <c r="D249" s="3">
        <f>IF($B$22&lt;&gt;"Ready","",IF($B$6+99&gt;=$B$8,"",IF(A249&lt;$B$7,0,12*(IF($B$13&gt;0,IF(A249&gt;=$B$14,$B$13,0),0)+IF($B$15&gt;0,IF(A249&gt;=$B$16,$B$15,0),0)))))</f>
      </c>
      <c r="E249" s="3">
        <f>IF($B$22&lt;&gt;"Ready","",IF($B$6+99&gt;=$B$8,"",IF(A249&lt;$B$7,0,12*$B$12)))</f>
      </c>
      <c r="F249" s="3">
        <f>IF($B$22&lt;&gt;"Ready","",IF($B$6+99&gt;=$B$8,"",MAX(0,E249-D249)))</f>
      </c>
      <c r="G249" s="3">
        <f>IF($B$22&lt;&gt;"Ready","",IF($B$6+99&gt;=$B$8,"",MAX(0,B249*(1+$B$28)+C249-F249)))</f>
      </c>
      <c r="H249" s="3">
        <f>IF($B$22&lt;&gt;"Ready","",IF($B$6+99&gt;=$B$8,"",ROUND(IF(ABS((MAX(0,F249-(B249*(1+$B$28)+C249))*100)-(INT(MAX(0,F249-(B249*(1+$B$28)+C249))*100)+0.5))&lt;=MIN(0.0000001,4*2.220446049250313E-16*MAX(1,ABS(F249),ABS(B249*(1+$B$28)+C249))*100),(INT(MAX(0,F249-(B249*(1+$B$28)+C249))*100)+0.5),MAX(0,F249-(B249*(1+$B$28)+C249))*100),0)/100))</f>
      </c>
      <c r="I249" s="0">
        <f>IF($B$22&lt;&gt;"Ready","",IF($B$6+99&gt;=$B$8,"",IF(I248&lt;&gt;"",I248,IF(H249&gt;0,A249+1,""))))</f>
      </c>
    </row>
    <row r="250" ht="15" customHeight="1">
      <c r="A250" s="0">
        <f>IF($B$22&lt;&gt;"Ready","",IF($B$6+100&gt;=$B$8,"",$B$6+100))</f>
      </c>
      <c r="B250" s="3">
        <f>IF($B$22&lt;&gt;"Ready","",IF($B$6+100&gt;=$B$8,"",G249))</f>
      </c>
      <c r="C250" s="3">
        <f>IF($B$22&lt;&gt;"Ready","",IF($B$6+100&gt;=$B$8,"",IF(A250&lt;$B$7,12*($B$10+$B$11),0)))</f>
      </c>
      <c r="D250" s="3">
        <f>IF($B$22&lt;&gt;"Ready","",IF($B$6+100&gt;=$B$8,"",IF(A250&lt;$B$7,0,12*(IF($B$13&gt;0,IF(A250&gt;=$B$14,$B$13,0),0)+IF($B$15&gt;0,IF(A250&gt;=$B$16,$B$15,0),0)))))</f>
      </c>
      <c r="E250" s="3">
        <f>IF($B$22&lt;&gt;"Ready","",IF($B$6+100&gt;=$B$8,"",IF(A250&lt;$B$7,0,12*$B$12)))</f>
      </c>
      <c r="F250" s="3">
        <f>IF($B$22&lt;&gt;"Ready","",IF($B$6+100&gt;=$B$8,"",MAX(0,E250-D250)))</f>
      </c>
      <c r="G250" s="3">
        <f>IF($B$22&lt;&gt;"Ready","",IF($B$6+100&gt;=$B$8,"",MAX(0,B250*(1+$B$28)+C250-F250)))</f>
      </c>
      <c r="H250" s="3">
        <f>IF($B$22&lt;&gt;"Ready","",IF($B$6+100&gt;=$B$8,"",ROUND(IF(ABS((MAX(0,F250-(B250*(1+$B$28)+C250))*100)-(INT(MAX(0,F250-(B250*(1+$B$28)+C250))*100)+0.5))&lt;=MIN(0.0000001,4*2.220446049250313E-16*MAX(1,ABS(F250),ABS(B250*(1+$B$28)+C250))*100),(INT(MAX(0,F250-(B250*(1+$B$28)+C250))*100)+0.5),MAX(0,F250-(B250*(1+$B$28)+C250))*100),0)/100))</f>
      </c>
      <c r="I250" s="0">
        <f>IF($B$22&lt;&gt;"Ready","",IF($B$6+100&gt;=$B$8,"",IF(I249&lt;&gt;"",I249,IF(H250&gt;0,A250+1,""))))</f>
      </c>
    </row>
    <row r="251" ht="15" customHeight="1">
      <c r="A251" s="0">
        <f>IF($B$22&lt;&gt;"Ready","",IF($B$6+101&gt;=$B$8,"",$B$6+101))</f>
      </c>
      <c r="B251" s="3">
        <f>IF($B$22&lt;&gt;"Ready","",IF($B$6+101&gt;=$B$8,"",G250))</f>
      </c>
      <c r="C251" s="3">
        <f>IF($B$22&lt;&gt;"Ready","",IF($B$6+101&gt;=$B$8,"",IF(A251&lt;$B$7,12*($B$10+$B$11),0)))</f>
      </c>
      <c r="D251" s="3">
        <f>IF($B$22&lt;&gt;"Ready","",IF($B$6+101&gt;=$B$8,"",IF(A251&lt;$B$7,0,12*(IF($B$13&gt;0,IF(A251&gt;=$B$14,$B$13,0),0)+IF($B$15&gt;0,IF(A251&gt;=$B$16,$B$15,0),0)))))</f>
      </c>
      <c r="E251" s="3">
        <f>IF($B$22&lt;&gt;"Ready","",IF($B$6+101&gt;=$B$8,"",IF(A251&lt;$B$7,0,12*$B$12)))</f>
      </c>
      <c r="F251" s="3">
        <f>IF($B$22&lt;&gt;"Ready","",IF($B$6+101&gt;=$B$8,"",MAX(0,E251-D251)))</f>
      </c>
      <c r="G251" s="3">
        <f>IF($B$22&lt;&gt;"Ready","",IF($B$6+101&gt;=$B$8,"",MAX(0,B251*(1+$B$28)+C251-F251)))</f>
      </c>
      <c r="H251" s="3">
        <f>IF($B$22&lt;&gt;"Ready","",IF($B$6+101&gt;=$B$8,"",ROUND(IF(ABS((MAX(0,F251-(B251*(1+$B$28)+C251))*100)-(INT(MAX(0,F251-(B251*(1+$B$28)+C251))*100)+0.5))&lt;=MIN(0.0000001,4*2.220446049250313E-16*MAX(1,ABS(F251),ABS(B251*(1+$B$28)+C251))*100),(INT(MAX(0,F251-(B251*(1+$B$28)+C251))*100)+0.5),MAX(0,F251-(B251*(1+$B$28)+C251))*100),0)/100))</f>
      </c>
      <c r="I251" s="0">
        <f>IF($B$22&lt;&gt;"Ready","",IF($B$6+101&gt;=$B$8,"",IF(I250&lt;&gt;"",I250,IF(H251&gt;0,A251+1,""))))</f>
      </c>
    </row>
    <row r="252" ht="15" customHeight="1">
      <c r="A252" s="0">
        <f>IF($B$22&lt;&gt;"Ready","",IF($B$6+102&gt;=$B$8,"",$B$6+102))</f>
      </c>
      <c r="B252" s="3">
        <f>IF($B$22&lt;&gt;"Ready","",IF($B$6+102&gt;=$B$8,"",G251))</f>
      </c>
      <c r="C252" s="3">
        <f>IF($B$22&lt;&gt;"Ready","",IF($B$6+102&gt;=$B$8,"",IF(A252&lt;$B$7,12*($B$10+$B$11),0)))</f>
      </c>
      <c r="D252" s="3">
        <f>IF($B$22&lt;&gt;"Ready","",IF($B$6+102&gt;=$B$8,"",IF(A252&lt;$B$7,0,12*(IF($B$13&gt;0,IF(A252&gt;=$B$14,$B$13,0),0)+IF($B$15&gt;0,IF(A252&gt;=$B$16,$B$15,0),0)))))</f>
      </c>
      <c r="E252" s="3">
        <f>IF($B$22&lt;&gt;"Ready","",IF($B$6+102&gt;=$B$8,"",IF(A252&lt;$B$7,0,12*$B$12)))</f>
      </c>
      <c r="F252" s="3">
        <f>IF($B$22&lt;&gt;"Ready","",IF($B$6+102&gt;=$B$8,"",MAX(0,E252-D252)))</f>
      </c>
      <c r="G252" s="3">
        <f>IF($B$22&lt;&gt;"Ready","",IF($B$6+102&gt;=$B$8,"",MAX(0,B252*(1+$B$28)+C252-F252)))</f>
      </c>
      <c r="H252" s="3">
        <f>IF($B$22&lt;&gt;"Ready","",IF($B$6+102&gt;=$B$8,"",ROUND(IF(ABS((MAX(0,F252-(B252*(1+$B$28)+C252))*100)-(INT(MAX(0,F252-(B252*(1+$B$28)+C252))*100)+0.5))&lt;=MIN(0.0000001,4*2.220446049250313E-16*MAX(1,ABS(F252),ABS(B252*(1+$B$28)+C252))*100),(INT(MAX(0,F252-(B252*(1+$B$28)+C252))*100)+0.5),MAX(0,F252-(B252*(1+$B$28)+C252))*100),0)/100))</f>
      </c>
      <c r="I252" s="0">
        <f>IF($B$22&lt;&gt;"Ready","",IF($B$6+102&gt;=$B$8,"",IF(I251&lt;&gt;"",I251,IF(H252&gt;0,A252+1,""))))</f>
      </c>
    </row>
    <row r="253" ht="15" customHeight="1">
      <c r="A253" s="0">
        <f>IF($B$22&lt;&gt;"Ready","",IF($B$6+103&gt;=$B$8,"",$B$6+103))</f>
      </c>
      <c r="B253" s="3">
        <f>IF($B$22&lt;&gt;"Ready","",IF($B$6+103&gt;=$B$8,"",G252))</f>
      </c>
      <c r="C253" s="3">
        <f>IF($B$22&lt;&gt;"Ready","",IF($B$6+103&gt;=$B$8,"",IF(A253&lt;$B$7,12*($B$10+$B$11),0)))</f>
      </c>
      <c r="D253" s="3">
        <f>IF($B$22&lt;&gt;"Ready","",IF($B$6+103&gt;=$B$8,"",IF(A253&lt;$B$7,0,12*(IF($B$13&gt;0,IF(A253&gt;=$B$14,$B$13,0),0)+IF($B$15&gt;0,IF(A253&gt;=$B$16,$B$15,0),0)))))</f>
      </c>
      <c r="E253" s="3">
        <f>IF($B$22&lt;&gt;"Ready","",IF($B$6+103&gt;=$B$8,"",IF(A253&lt;$B$7,0,12*$B$12)))</f>
      </c>
      <c r="F253" s="3">
        <f>IF($B$22&lt;&gt;"Ready","",IF($B$6+103&gt;=$B$8,"",MAX(0,E253-D253)))</f>
      </c>
      <c r="G253" s="3">
        <f>IF($B$22&lt;&gt;"Ready","",IF($B$6+103&gt;=$B$8,"",MAX(0,B253*(1+$B$28)+C253-F253)))</f>
      </c>
      <c r="H253" s="3">
        <f>IF($B$22&lt;&gt;"Ready","",IF($B$6+103&gt;=$B$8,"",ROUND(IF(ABS((MAX(0,F253-(B253*(1+$B$28)+C253))*100)-(INT(MAX(0,F253-(B253*(1+$B$28)+C253))*100)+0.5))&lt;=MIN(0.0000001,4*2.220446049250313E-16*MAX(1,ABS(F253),ABS(B253*(1+$B$28)+C253))*100),(INT(MAX(0,F253-(B253*(1+$B$28)+C253))*100)+0.5),MAX(0,F253-(B253*(1+$B$28)+C253))*100),0)/100))</f>
      </c>
      <c r="I253" s="0">
        <f>IF($B$22&lt;&gt;"Ready","",IF($B$6+103&gt;=$B$8,"",IF(I252&lt;&gt;"",I252,IF(H253&gt;0,A253+1,""))))</f>
      </c>
    </row>
    <row r="254" ht="15" customHeight="1">
      <c r="A254" s="0">
        <f>IF($B$22&lt;&gt;"Ready","",IF($B$6+104&gt;=$B$8,"",$B$6+104))</f>
      </c>
      <c r="B254" s="3">
        <f>IF($B$22&lt;&gt;"Ready","",IF($B$6+104&gt;=$B$8,"",G253))</f>
      </c>
      <c r="C254" s="3">
        <f>IF($B$22&lt;&gt;"Ready","",IF($B$6+104&gt;=$B$8,"",IF(A254&lt;$B$7,12*($B$10+$B$11),0)))</f>
      </c>
      <c r="D254" s="3">
        <f>IF($B$22&lt;&gt;"Ready","",IF($B$6+104&gt;=$B$8,"",IF(A254&lt;$B$7,0,12*(IF($B$13&gt;0,IF(A254&gt;=$B$14,$B$13,0),0)+IF($B$15&gt;0,IF(A254&gt;=$B$16,$B$15,0),0)))))</f>
      </c>
      <c r="E254" s="3">
        <f>IF($B$22&lt;&gt;"Ready","",IF($B$6+104&gt;=$B$8,"",IF(A254&lt;$B$7,0,12*$B$12)))</f>
      </c>
      <c r="F254" s="3">
        <f>IF($B$22&lt;&gt;"Ready","",IF($B$6+104&gt;=$B$8,"",MAX(0,E254-D254)))</f>
      </c>
      <c r="G254" s="3">
        <f>IF($B$22&lt;&gt;"Ready","",IF($B$6+104&gt;=$B$8,"",MAX(0,B254*(1+$B$28)+C254-F254)))</f>
      </c>
      <c r="H254" s="3">
        <f>IF($B$22&lt;&gt;"Ready","",IF($B$6+104&gt;=$B$8,"",ROUND(IF(ABS((MAX(0,F254-(B254*(1+$B$28)+C254))*100)-(INT(MAX(0,F254-(B254*(1+$B$28)+C254))*100)+0.5))&lt;=MIN(0.0000001,4*2.220446049250313E-16*MAX(1,ABS(F254),ABS(B254*(1+$B$28)+C254))*100),(INT(MAX(0,F254-(B254*(1+$B$28)+C254))*100)+0.5),MAX(0,F254-(B254*(1+$B$28)+C254))*100),0)/100))</f>
      </c>
      <c r="I254" s="0">
        <f>IF($B$22&lt;&gt;"Ready","",IF($B$6+104&gt;=$B$8,"",IF(I253&lt;&gt;"",I253,IF(H254&gt;0,A254+1,""))))</f>
      </c>
    </row>
    <row r="255" ht="15" customHeight="1">
      <c r="A255" s="0">
        <f>IF($B$22&lt;&gt;"Ready","",IF($B$6+105&gt;=$B$8,"",$B$6+105))</f>
      </c>
      <c r="B255" s="3">
        <f>IF($B$22&lt;&gt;"Ready","",IF($B$6+105&gt;=$B$8,"",G254))</f>
      </c>
      <c r="C255" s="3">
        <f>IF($B$22&lt;&gt;"Ready","",IF($B$6+105&gt;=$B$8,"",IF(A255&lt;$B$7,12*($B$10+$B$11),0)))</f>
      </c>
      <c r="D255" s="3">
        <f>IF($B$22&lt;&gt;"Ready","",IF($B$6+105&gt;=$B$8,"",IF(A255&lt;$B$7,0,12*(IF($B$13&gt;0,IF(A255&gt;=$B$14,$B$13,0),0)+IF($B$15&gt;0,IF(A255&gt;=$B$16,$B$15,0),0)))))</f>
      </c>
      <c r="E255" s="3">
        <f>IF($B$22&lt;&gt;"Ready","",IF($B$6+105&gt;=$B$8,"",IF(A255&lt;$B$7,0,12*$B$12)))</f>
      </c>
      <c r="F255" s="3">
        <f>IF($B$22&lt;&gt;"Ready","",IF($B$6+105&gt;=$B$8,"",MAX(0,E255-D255)))</f>
      </c>
      <c r="G255" s="3">
        <f>IF($B$22&lt;&gt;"Ready","",IF($B$6+105&gt;=$B$8,"",MAX(0,B255*(1+$B$28)+C255-F255)))</f>
      </c>
      <c r="H255" s="3">
        <f>IF($B$22&lt;&gt;"Ready","",IF($B$6+105&gt;=$B$8,"",ROUND(IF(ABS((MAX(0,F255-(B255*(1+$B$28)+C255))*100)-(INT(MAX(0,F255-(B255*(1+$B$28)+C255))*100)+0.5))&lt;=MIN(0.0000001,4*2.220446049250313E-16*MAX(1,ABS(F255),ABS(B255*(1+$B$28)+C255))*100),(INT(MAX(0,F255-(B255*(1+$B$28)+C255))*100)+0.5),MAX(0,F255-(B255*(1+$B$28)+C255))*100),0)/100))</f>
      </c>
      <c r="I255" s="0">
        <f>IF($B$22&lt;&gt;"Ready","",IF($B$6+105&gt;=$B$8,"",IF(I254&lt;&gt;"",I254,IF(H255&gt;0,A255+1,""))))</f>
      </c>
    </row>
    <row r="256" ht="15" customHeight="1">
      <c r="A256" s="0">
        <f>IF($B$22&lt;&gt;"Ready","",IF($B$6+106&gt;=$B$8,"",$B$6+106))</f>
      </c>
      <c r="B256" s="3">
        <f>IF($B$22&lt;&gt;"Ready","",IF($B$6+106&gt;=$B$8,"",G255))</f>
      </c>
      <c r="C256" s="3">
        <f>IF($B$22&lt;&gt;"Ready","",IF($B$6+106&gt;=$B$8,"",IF(A256&lt;$B$7,12*($B$10+$B$11),0)))</f>
      </c>
      <c r="D256" s="3">
        <f>IF($B$22&lt;&gt;"Ready","",IF($B$6+106&gt;=$B$8,"",IF(A256&lt;$B$7,0,12*(IF($B$13&gt;0,IF(A256&gt;=$B$14,$B$13,0),0)+IF($B$15&gt;0,IF(A256&gt;=$B$16,$B$15,0),0)))))</f>
      </c>
      <c r="E256" s="3">
        <f>IF($B$22&lt;&gt;"Ready","",IF($B$6+106&gt;=$B$8,"",IF(A256&lt;$B$7,0,12*$B$12)))</f>
      </c>
      <c r="F256" s="3">
        <f>IF($B$22&lt;&gt;"Ready","",IF($B$6+106&gt;=$B$8,"",MAX(0,E256-D256)))</f>
      </c>
      <c r="G256" s="3">
        <f>IF($B$22&lt;&gt;"Ready","",IF($B$6+106&gt;=$B$8,"",MAX(0,B256*(1+$B$28)+C256-F256)))</f>
      </c>
      <c r="H256" s="3">
        <f>IF($B$22&lt;&gt;"Ready","",IF($B$6+106&gt;=$B$8,"",ROUND(IF(ABS((MAX(0,F256-(B256*(1+$B$28)+C256))*100)-(INT(MAX(0,F256-(B256*(1+$B$28)+C256))*100)+0.5))&lt;=MIN(0.0000001,4*2.220446049250313E-16*MAX(1,ABS(F256),ABS(B256*(1+$B$28)+C256))*100),(INT(MAX(0,F256-(B256*(1+$B$28)+C256))*100)+0.5),MAX(0,F256-(B256*(1+$B$28)+C256))*100),0)/100))</f>
      </c>
      <c r="I256" s="0">
        <f>IF($B$22&lt;&gt;"Ready","",IF($B$6+106&gt;=$B$8,"",IF(I255&lt;&gt;"",I255,IF(H256&gt;0,A256+1,""))))</f>
      </c>
    </row>
    <row r="257" ht="15" customHeight="1">
      <c r="A257" s="0">
        <f>IF($B$22&lt;&gt;"Ready","",IF($B$6+107&gt;=$B$8,"",$B$6+107))</f>
      </c>
      <c r="B257" s="3">
        <f>IF($B$22&lt;&gt;"Ready","",IF($B$6+107&gt;=$B$8,"",G256))</f>
      </c>
      <c r="C257" s="3">
        <f>IF($B$22&lt;&gt;"Ready","",IF($B$6+107&gt;=$B$8,"",IF(A257&lt;$B$7,12*($B$10+$B$11),0)))</f>
      </c>
      <c r="D257" s="3">
        <f>IF($B$22&lt;&gt;"Ready","",IF($B$6+107&gt;=$B$8,"",IF(A257&lt;$B$7,0,12*(IF($B$13&gt;0,IF(A257&gt;=$B$14,$B$13,0),0)+IF($B$15&gt;0,IF(A257&gt;=$B$16,$B$15,0),0)))))</f>
      </c>
      <c r="E257" s="3">
        <f>IF($B$22&lt;&gt;"Ready","",IF($B$6+107&gt;=$B$8,"",IF(A257&lt;$B$7,0,12*$B$12)))</f>
      </c>
      <c r="F257" s="3">
        <f>IF($B$22&lt;&gt;"Ready","",IF($B$6+107&gt;=$B$8,"",MAX(0,E257-D257)))</f>
      </c>
      <c r="G257" s="3">
        <f>IF($B$22&lt;&gt;"Ready","",IF($B$6+107&gt;=$B$8,"",MAX(0,B257*(1+$B$28)+C257-F257)))</f>
      </c>
      <c r="H257" s="3">
        <f>IF($B$22&lt;&gt;"Ready","",IF($B$6+107&gt;=$B$8,"",ROUND(IF(ABS((MAX(0,F257-(B257*(1+$B$28)+C257))*100)-(INT(MAX(0,F257-(B257*(1+$B$28)+C257))*100)+0.5))&lt;=MIN(0.0000001,4*2.220446049250313E-16*MAX(1,ABS(F257),ABS(B257*(1+$B$28)+C257))*100),(INT(MAX(0,F257-(B257*(1+$B$28)+C257))*100)+0.5),MAX(0,F257-(B257*(1+$B$28)+C257))*100),0)/100))</f>
      </c>
      <c r="I257" s="0">
        <f>IF($B$22&lt;&gt;"Ready","",IF($B$6+107&gt;=$B$8,"",IF(I256&lt;&gt;"",I256,IF(H257&gt;0,A257+1,""))))</f>
      </c>
    </row>
    <row r="258" ht="15" customHeight="1">
      <c r="A258" s="0">
        <f>IF($B$22&lt;&gt;"Ready","",IF($B$6+108&gt;=$B$8,"",$B$6+108))</f>
      </c>
      <c r="B258" s="3">
        <f>IF($B$22&lt;&gt;"Ready","",IF($B$6+108&gt;=$B$8,"",G257))</f>
      </c>
      <c r="C258" s="3">
        <f>IF($B$22&lt;&gt;"Ready","",IF($B$6+108&gt;=$B$8,"",IF(A258&lt;$B$7,12*($B$10+$B$11),0)))</f>
      </c>
      <c r="D258" s="3">
        <f>IF($B$22&lt;&gt;"Ready","",IF($B$6+108&gt;=$B$8,"",IF(A258&lt;$B$7,0,12*(IF($B$13&gt;0,IF(A258&gt;=$B$14,$B$13,0),0)+IF($B$15&gt;0,IF(A258&gt;=$B$16,$B$15,0),0)))))</f>
      </c>
      <c r="E258" s="3">
        <f>IF($B$22&lt;&gt;"Ready","",IF($B$6+108&gt;=$B$8,"",IF(A258&lt;$B$7,0,12*$B$12)))</f>
      </c>
      <c r="F258" s="3">
        <f>IF($B$22&lt;&gt;"Ready","",IF($B$6+108&gt;=$B$8,"",MAX(0,E258-D258)))</f>
      </c>
      <c r="G258" s="3">
        <f>IF($B$22&lt;&gt;"Ready","",IF($B$6+108&gt;=$B$8,"",MAX(0,B258*(1+$B$28)+C258-F258)))</f>
      </c>
      <c r="H258" s="3">
        <f>IF($B$22&lt;&gt;"Ready","",IF($B$6+108&gt;=$B$8,"",ROUND(IF(ABS((MAX(0,F258-(B258*(1+$B$28)+C258))*100)-(INT(MAX(0,F258-(B258*(1+$B$28)+C258))*100)+0.5))&lt;=MIN(0.0000001,4*2.220446049250313E-16*MAX(1,ABS(F258),ABS(B258*(1+$B$28)+C258))*100),(INT(MAX(0,F258-(B258*(1+$B$28)+C258))*100)+0.5),MAX(0,F258-(B258*(1+$B$28)+C258))*100),0)/100))</f>
      </c>
      <c r="I258" s="0">
        <f>IF($B$22&lt;&gt;"Ready","",IF($B$6+108&gt;=$B$8,"",IF(I257&lt;&gt;"",I257,IF(H258&gt;0,A258+1,""))))</f>
      </c>
    </row>
    <row r="259" ht="15" customHeight="1">
      <c r="A259" s="0">
        <f>IF($B$22&lt;&gt;"Ready","",IF($B$6+109&gt;=$B$8,"",$B$6+109))</f>
      </c>
      <c r="B259" s="3">
        <f>IF($B$22&lt;&gt;"Ready","",IF($B$6+109&gt;=$B$8,"",G258))</f>
      </c>
      <c r="C259" s="3">
        <f>IF($B$22&lt;&gt;"Ready","",IF($B$6+109&gt;=$B$8,"",IF(A259&lt;$B$7,12*($B$10+$B$11),0)))</f>
      </c>
      <c r="D259" s="3">
        <f>IF($B$22&lt;&gt;"Ready","",IF($B$6+109&gt;=$B$8,"",IF(A259&lt;$B$7,0,12*(IF($B$13&gt;0,IF(A259&gt;=$B$14,$B$13,0),0)+IF($B$15&gt;0,IF(A259&gt;=$B$16,$B$15,0),0)))))</f>
      </c>
      <c r="E259" s="3">
        <f>IF($B$22&lt;&gt;"Ready","",IF($B$6+109&gt;=$B$8,"",IF(A259&lt;$B$7,0,12*$B$12)))</f>
      </c>
      <c r="F259" s="3">
        <f>IF($B$22&lt;&gt;"Ready","",IF($B$6+109&gt;=$B$8,"",MAX(0,E259-D259)))</f>
      </c>
      <c r="G259" s="3">
        <f>IF($B$22&lt;&gt;"Ready","",IF($B$6+109&gt;=$B$8,"",MAX(0,B259*(1+$B$28)+C259-F259)))</f>
      </c>
      <c r="H259" s="3">
        <f>IF($B$22&lt;&gt;"Ready","",IF($B$6+109&gt;=$B$8,"",ROUND(IF(ABS((MAX(0,F259-(B259*(1+$B$28)+C259))*100)-(INT(MAX(0,F259-(B259*(1+$B$28)+C259))*100)+0.5))&lt;=MIN(0.0000001,4*2.220446049250313E-16*MAX(1,ABS(F259),ABS(B259*(1+$B$28)+C259))*100),(INT(MAX(0,F259-(B259*(1+$B$28)+C259))*100)+0.5),MAX(0,F259-(B259*(1+$B$28)+C259))*100),0)/100))</f>
      </c>
      <c r="I259" s="0">
        <f>IF($B$22&lt;&gt;"Ready","",IF($B$6+109&gt;=$B$8,"",IF(I258&lt;&gt;"",I258,IF(H259&gt;0,A259+1,""))))</f>
      </c>
    </row>
    <row r="260" ht="15" customHeight="1"/>
    <row r="261" ht="26" customHeight="1">
      <c r="A261" s="1" t="inlineStr">
        <is>
          <t xml:space="preserve">Optimistic annual timeline — all amounts in today's USD</t>
        </is>
      </c>
    </row>
    <row r="262" ht="42" customHeight="1">
      <c r="A262" s="2" t="inlineStr">
        <is>
          <t xml:space="preserve">Age at start</t>
        </is>
      </c>
      <c r="B262" s="2" t="inlineStr">
        <is>
          <t xml:space="preserve">Opening investments</t>
        </is>
      </c>
      <c r="C262" s="2" t="inlineStr">
        <is>
          <t xml:space="preserve">Contribution</t>
        </is>
      </c>
      <c r="D262" s="2" t="inlineStr">
        <is>
          <t xml:space="preserve">Pension + benefits</t>
        </is>
      </c>
      <c r="E262" s="2" t="inlineStr">
        <is>
          <t xml:space="preserve">Retirement spending</t>
        </is>
      </c>
      <c r="F262" s="2" t="inlineStr">
        <is>
          <t xml:space="preserve">Portfolio draw</t>
        </is>
      </c>
      <c r="G262" s="2" t="inlineStr">
        <is>
          <t xml:space="preserve">Closing investments</t>
        </is>
      </c>
      <c r="H262" s="2" t="inlineStr">
        <is>
          <t xml:space="preserve">Unfunded spending</t>
        </is>
      </c>
      <c r="I262" s="2" t="inlineStr">
        <is>
          <t xml:space="preserve">First gap age so far</t>
        </is>
      </c>
    </row>
    <row r="263" ht="15" customHeight="1">
      <c r="A263" s="0">
        <f>IF($B$22&lt;&gt;"Ready","",IF($B$6+0&gt;=$B$8,"",$B$6+0))</f>
      </c>
      <c r="B263" s="3">
        <f>IF($B$22&lt;&gt;"Ready","",IF($B$6+0&gt;=$B$8,"",$B$9))</f>
      </c>
      <c r="C263" s="3">
        <f>IF($B$22&lt;&gt;"Ready","",IF($B$6+0&gt;=$B$8,"",IF(A263&lt;$B$7,12*($B$10+$B$11),0)))</f>
      </c>
      <c r="D263" s="3">
        <f>IF($B$22&lt;&gt;"Ready","",IF($B$6+0&gt;=$B$8,"",IF(A263&lt;$B$7,0,12*(IF($B$13&gt;0,IF(A263&gt;=$B$14,$B$13,0),0)+IF($B$15&gt;0,IF(A263&gt;=$B$16,$B$15,0),0)))))</f>
      </c>
      <c r="E263" s="3">
        <f>IF($B$22&lt;&gt;"Ready","",IF($B$6+0&gt;=$B$8,"",IF(A263&lt;$B$7,0,12*$B$12)))</f>
      </c>
      <c r="F263" s="3">
        <f>IF($B$22&lt;&gt;"Ready","",IF($B$6+0&gt;=$B$8,"",MAX(0,E263-D263)))</f>
      </c>
      <c r="G263" s="3">
        <f>IF($B$22&lt;&gt;"Ready","",IF($B$6+0&gt;=$B$8,"",MAX(0,B263*(1+$B$29)+C263-F263)))</f>
      </c>
      <c r="H263" s="3">
        <f>IF($B$22&lt;&gt;"Ready","",IF($B$6+0&gt;=$B$8,"",ROUND(IF(ABS((MAX(0,F263-(B263*(1+$B$29)+C263))*100)-(INT(MAX(0,F263-(B263*(1+$B$29)+C263))*100)+0.5))&lt;=MIN(0.0000001,4*2.220446049250313E-16*MAX(1,ABS(F263),ABS(B263*(1+$B$29)+C263))*100),(INT(MAX(0,F263-(B263*(1+$B$29)+C263))*100)+0.5),MAX(0,F263-(B263*(1+$B$29)+C263))*100),0)/100))</f>
      </c>
      <c r="I263" s="0">
        <f>IF($B$22&lt;&gt;"Ready","",IF($B$6+0&gt;=$B$8,"",IF(H263&gt;0,A263+1,"")))</f>
      </c>
    </row>
    <row r="264" ht="15" customHeight="1">
      <c r="A264" s="0">
        <f>IF($B$22&lt;&gt;"Ready","",IF($B$6+1&gt;=$B$8,"",$B$6+1))</f>
      </c>
      <c r="B264" s="3">
        <f>IF($B$22&lt;&gt;"Ready","",IF($B$6+1&gt;=$B$8,"",G263))</f>
      </c>
      <c r="C264" s="3">
        <f>IF($B$22&lt;&gt;"Ready","",IF($B$6+1&gt;=$B$8,"",IF(A264&lt;$B$7,12*($B$10+$B$11),0)))</f>
      </c>
      <c r="D264" s="3">
        <f>IF($B$22&lt;&gt;"Ready","",IF($B$6+1&gt;=$B$8,"",IF(A264&lt;$B$7,0,12*(IF($B$13&gt;0,IF(A264&gt;=$B$14,$B$13,0),0)+IF($B$15&gt;0,IF(A264&gt;=$B$16,$B$15,0),0)))))</f>
      </c>
      <c r="E264" s="3">
        <f>IF($B$22&lt;&gt;"Ready","",IF($B$6+1&gt;=$B$8,"",IF(A264&lt;$B$7,0,12*$B$12)))</f>
      </c>
      <c r="F264" s="3">
        <f>IF($B$22&lt;&gt;"Ready","",IF($B$6+1&gt;=$B$8,"",MAX(0,E264-D264)))</f>
      </c>
      <c r="G264" s="3">
        <f>IF($B$22&lt;&gt;"Ready","",IF($B$6+1&gt;=$B$8,"",MAX(0,B264*(1+$B$29)+C264-F264)))</f>
      </c>
      <c r="H264" s="3">
        <f>IF($B$22&lt;&gt;"Ready","",IF($B$6+1&gt;=$B$8,"",ROUND(IF(ABS((MAX(0,F264-(B264*(1+$B$29)+C264))*100)-(INT(MAX(0,F264-(B264*(1+$B$29)+C264))*100)+0.5))&lt;=MIN(0.0000001,4*2.220446049250313E-16*MAX(1,ABS(F264),ABS(B264*(1+$B$29)+C264))*100),(INT(MAX(0,F264-(B264*(1+$B$29)+C264))*100)+0.5),MAX(0,F264-(B264*(1+$B$29)+C264))*100),0)/100))</f>
      </c>
      <c r="I264" s="0">
        <f>IF($B$22&lt;&gt;"Ready","",IF($B$6+1&gt;=$B$8,"",IF(I263&lt;&gt;"",I263,IF(H264&gt;0,A264+1,""))))</f>
      </c>
    </row>
    <row r="265" ht="15" customHeight="1">
      <c r="A265" s="0">
        <f>IF($B$22&lt;&gt;"Ready","",IF($B$6+2&gt;=$B$8,"",$B$6+2))</f>
      </c>
      <c r="B265" s="3">
        <f>IF($B$22&lt;&gt;"Ready","",IF($B$6+2&gt;=$B$8,"",G264))</f>
      </c>
      <c r="C265" s="3">
        <f>IF($B$22&lt;&gt;"Ready","",IF($B$6+2&gt;=$B$8,"",IF(A265&lt;$B$7,12*($B$10+$B$11),0)))</f>
      </c>
      <c r="D265" s="3">
        <f>IF($B$22&lt;&gt;"Ready","",IF($B$6+2&gt;=$B$8,"",IF(A265&lt;$B$7,0,12*(IF($B$13&gt;0,IF(A265&gt;=$B$14,$B$13,0),0)+IF($B$15&gt;0,IF(A265&gt;=$B$16,$B$15,0),0)))))</f>
      </c>
      <c r="E265" s="3">
        <f>IF($B$22&lt;&gt;"Ready","",IF($B$6+2&gt;=$B$8,"",IF(A265&lt;$B$7,0,12*$B$12)))</f>
      </c>
      <c r="F265" s="3">
        <f>IF($B$22&lt;&gt;"Ready","",IF($B$6+2&gt;=$B$8,"",MAX(0,E265-D265)))</f>
      </c>
      <c r="G265" s="3">
        <f>IF($B$22&lt;&gt;"Ready","",IF($B$6+2&gt;=$B$8,"",MAX(0,B265*(1+$B$29)+C265-F265)))</f>
      </c>
      <c r="H265" s="3">
        <f>IF($B$22&lt;&gt;"Ready","",IF($B$6+2&gt;=$B$8,"",ROUND(IF(ABS((MAX(0,F265-(B265*(1+$B$29)+C265))*100)-(INT(MAX(0,F265-(B265*(1+$B$29)+C265))*100)+0.5))&lt;=MIN(0.0000001,4*2.220446049250313E-16*MAX(1,ABS(F265),ABS(B265*(1+$B$29)+C265))*100),(INT(MAX(0,F265-(B265*(1+$B$29)+C265))*100)+0.5),MAX(0,F265-(B265*(1+$B$29)+C265))*100),0)/100))</f>
      </c>
      <c r="I265" s="0">
        <f>IF($B$22&lt;&gt;"Ready","",IF($B$6+2&gt;=$B$8,"",IF(I264&lt;&gt;"",I264,IF(H265&gt;0,A265+1,""))))</f>
      </c>
    </row>
    <row r="266" ht="15" customHeight="1">
      <c r="A266" s="0">
        <f>IF($B$22&lt;&gt;"Ready","",IF($B$6+3&gt;=$B$8,"",$B$6+3))</f>
      </c>
      <c r="B266" s="3">
        <f>IF($B$22&lt;&gt;"Ready","",IF($B$6+3&gt;=$B$8,"",G265))</f>
      </c>
      <c r="C266" s="3">
        <f>IF($B$22&lt;&gt;"Ready","",IF($B$6+3&gt;=$B$8,"",IF(A266&lt;$B$7,12*($B$10+$B$11),0)))</f>
      </c>
      <c r="D266" s="3">
        <f>IF($B$22&lt;&gt;"Ready","",IF($B$6+3&gt;=$B$8,"",IF(A266&lt;$B$7,0,12*(IF($B$13&gt;0,IF(A266&gt;=$B$14,$B$13,0),0)+IF($B$15&gt;0,IF(A266&gt;=$B$16,$B$15,0),0)))))</f>
      </c>
      <c r="E266" s="3">
        <f>IF($B$22&lt;&gt;"Ready","",IF($B$6+3&gt;=$B$8,"",IF(A266&lt;$B$7,0,12*$B$12)))</f>
      </c>
      <c r="F266" s="3">
        <f>IF($B$22&lt;&gt;"Ready","",IF($B$6+3&gt;=$B$8,"",MAX(0,E266-D266)))</f>
      </c>
      <c r="G266" s="3">
        <f>IF($B$22&lt;&gt;"Ready","",IF($B$6+3&gt;=$B$8,"",MAX(0,B266*(1+$B$29)+C266-F266)))</f>
      </c>
      <c r="H266" s="3">
        <f>IF($B$22&lt;&gt;"Ready","",IF($B$6+3&gt;=$B$8,"",ROUND(IF(ABS((MAX(0,F266-(B266*(1+$B$29)+C266))*100)-(INT(MAX(0,F266-(B266*(1+$B$29)+C266))*100)+0.5))&lt;=MIN(0.0000001,4*2.220446049250313E-16*MAX(1,ABS(F266),ABS(B266*(1+$B$29)+C266))*100),(INT(MAX(0,F266-(B266*(1+$B$29)+C266))*100)+0.5),MAX(0,F266-(B266*(1+$B$29)+C266))*100),0)/100))</f>
      </c>
      <c r="I266" s="0">
        <f>IF($B$22&lt;&gt;"Ready","",IF($B$6+3&gt;=$B$8,"",IF(I265&lt;&gt;"",I265,IF(H266&gt;0,A266+1,""))))</f>
      </c>
    </row>
    <row r="267" ht="15" customHeight="1">
      <c r="A267" s="0">
        <f>IF($B$22&lt;&gt;"Ready","",IF($B$6+4&gt;=$B$8,"",$B$6+4))</f>
      </c>
      <c r="B267" s="3">
        <f>IF($B$22&lt;&gt;"Ready","",IF($B$6+4&gt;=$B$8,"",G266))</f>
      </c>
      <c r="C267" s="3">
        <f>IF($B$22&lt;&gt;"Ready","",IF($B$6+4&gt;=$B$8,"",IF(A267&lt;$B$7,12*($B$10+$B$11),0)))</f>
      </c>
      <c r="D267" s="3">
        <f>IF($B$22&lt;&gt;"Ready","",IF($B$6+4&gt;=$B$8,"",IF(A267&lt;$B$7,0,12*(IF($B$13&gt;0,IF(A267&gt;=$B$14,$B$13,0),0)+IF($B$15&gt;0,IF(A267&gt;=$B$16,$B$15,0),0)))))</f>
      </c>
      <c r="E267" s="3">
        <f>IF($B$22&lt;&gt;"Ready","",IF($B$6+4&gt;=$B$8,"",IF(A267&lt;$B$7,0,12*$B$12)))</f>
      </c>
      <c r="F267" s="3">
        <f>IF($B$22&lt;&gt;"Ready","",IF($B$6+4&gt;=$B$8,"",MAX(0,E267-D267)))</f>
      </c>
      <c r="G267" s="3">
        <f>IF($B$22&lt;&gt;"Ready","",IF($B$6+4&gt;=$B$8,"",MAX(0,B267*(1+$B$29)+C267-F267)))</f>
      </c>
      <c r="H267" s="3">
        <f>IF($B$22&lt;&gt;"Ready","",IF($B$6+4&gt;=$B$8,"",ROUND(IF(ABS((MAX(0,F267-(B267*(1+$B$29)+C267))*100)-(INT(MAX(0,F267-(B267*(1+$B$29)+C267))*100)+0.5))&lt;=MIN(0.0000001,4*2.220446049250313E-16*MAX(1,ABS(F267),ABS(B267*(1+$B$29)+C267))*100),(INT(MAX(0,F267-(B267*(1+$B$29)+C267))*100)+0.5),MAX(0,F267-(B267*(1+$B$29)+C267))*100),0)/100))</f>
      </c>
      <c r="I267" s="0">
        <f>IF($B$22&lt;&gt;"Ready","",IF($B$6+4&gt;=$B$8,"",IF(I266&lt;&gt;"",I266,IF(H267&gt;0,A267+1,""))))</f>
      </c>
    </row>
    <row r="268" ht="15" customHeight="1">
      <c r="A268" s="0">
        <f>IF($B$22&lt;&gt;"Ready","",IF($B$6+5&gt;=$B$8,"",$B$6+5))</f>
      </c>
      <c r="B268" s="3">
        <f>IF($B$22&lt;&gt;"Ready","",IF($B$6+5&gt;=$B$8,"",G267))</f>
      </c>
      <c r="C268" s="3">
        <f>IF($B$22&lt;&gt;"Ready","",IF($B$6+5&gt;=$B$8,"",IF(A268&lt;$B$7,12*($B$10+$B$11),0)))</f>
      </c>
      <c r="D268" s="3">
        <f>IF($B$22&lt;&gt;"Ready","",IF($B$6+5&gt;=$B$8,"",IF(A268&lt;$B$7,0,12*(IF($B$13&gt;0,IF(A268&gt;=$B$14,$B$13,0),0)+IF($B$15&gt;0,IF(A268&gt;=$B$16,$B$15,0),0)))))</f>
      </c>
      <c r="E268" s="3">
        <f>IF($B$22&lt;&gt;"Ready","",IF($B$6+5&gt;=$B$8,"",IF(A268&lt;$B$7,0,12*$B$12)))</f>
      </c>
      <c r="F268" s="3">
        <f>IF($B$22&lt;&gt;"Ready","",IF($B$6+5&gt;=$B$8,"",MAX(0,E268-D268)))</f>
      </c>
      <c r="G268" s="3">
        <f>IF($B$22&lt;&gt;"Ready","",IF($B$6+5&gt;=$B$8,"",MAX(0,B268*(1+$B$29)+C268-F268)))</f>
      </c>
      <c r="H268" s="3">
        <f>IF($B$22&lt;&gt;"Ready","",IF($B$6+5&gt;=$B$8,"",ROUND(IF(ABS((MAX(0,F268-(B268*(1+$B$29)+C268))*100)-(INT(MAX(0,F268-(B268*(1+$B$29)+C268))*100)+0.5))&lt;=MIN(0.0000001,4*2.220446049250313E-16*MAX(1,ABS(F268),ABS(B268*(1+$B$29)+C268))*100),(INT(MAX(0,F268-(B268*(1+$B$29)+C268))*100)+0.5),MAX(0,F268-(B268*(1+$B$29)+C268))*100),0)/100))</f>
      </c>
      <c r="I268" s="0">
        <f>IF($B$22&lt;&gt;"Ready","",IF($B$6+5&gt;=$B$8,"",IF(I267&lt;&gt;"",I267,IF(H268&gt;0,A268+1,""))))</f>
      </c>
    </row>
    <row r="269" ht="15" customHeight="1">
      <c r="A269" s="0">
        <f>IF($B$22&lt;&gt;"Ready","",IF($B$6+6&gt;=$B$8,"",$B$6+6))</f>
      </c>
      <c r="B269" s="3">
        <f>IF($B$22&lt;&gt;"Ready","",IF($B$6+6&gt;=$B$8,"",G268))</f>
      </c>
      <c r="C269" s="3">
        <f>IF($B$22&lt;&gt;"Ready","",IF($B$6+6&gt;=$B$8,"",IF(A269&lt;$B$7,12*($B$10+$B$11),0)))</f>
      </c>
      <c r="D269" s="3">
        <f>IF($B$22&lt;&gt;"Ready","",IF($B$6+6&gt;=$B$8,"",IF(A269&lt;$B$7,0,12*(IF($B$13&gt;0,IF(A269&gt;=$B$14,$B$13,0),0)+IF($B$15&gt;0,IF(A269&gt;=$B$16,$B$15,0),0)))))</f>
      </c>
      <c r="E269" s="3">
        <f>IF($B$22&lt;&gt;"Ready","",IF($B$6+6&gt;=$B$8,"",IF(A269&lt;$B$7,0,12*$B$12)))</f>
      </c>
      <c r="F269" s="3">
        <f>IF($B$22&lt;&gt;"Ready","",IF($B$6+6&gt;=$B$8,"",MAX(0,E269-D269)))</f>
      </c>
      <c r="G269" s="3">
        <f>IF($B$22&lt;&gt;"Ready","",IF($B$6+6&gt;=$B$8,"",MAX(0,B269*(1+$B$29)+C269-F269)))</f>
      </c>
      <c r="H269" s="3">
        <f>IF($B$22&lt;&gt;"Ready","",IF($B$6+6&gt;=$B$8,"",ROUND(IF(ABS((MAX(0,F269-(B269*(1+$B$29)+C269))*100)-(INT(MAX(0,F269-(B269*(1+$B$29)+C269))*100)+0.5))&lt;=MIN(0.0000001,4*2.220446049250313E-16*MAX(1,ABS(F269),ABS(B269*(1+$B$29)+C269))*100),(INT(MAX(0,F269-(B269*(1+$B$29)+C269))*100)+0.5),MAX(0,F269-(B269*(1+$B$29)+C269))*100),0)/100))</f>
      </c>
      <c r="I269" s="0">
        <f>IF($B$22&lt;&gt;"Ready","",IF($B$6+6&gt;=$B$8,"",IF(I268&lt;&gt;"",I268,IF(H269&gt;0,A269+1,""))))</f>
      </c>
    </row>
    <row r="270" ht="15" customHeight="1">
      <c r="A270" s="0">
        <f>IF($B$22&lt;&gt;"Ready","",IF($B$6+7&gt;=$B$8,"",$B$6+7))</f>
      </c>
      <c r="B270" s="3">
        <f>IF($B$22&lt;&gt;"Ready","",IF($B$6+7&gt;=$B$8,"",G269))</f>
      </c>
      <c r="C270" s="3">
        <f>IF($B$22&lt;&gt;"Ready","",IF($B$6+7&gt;=$B$8,"",IF(A270&lt;$B$7,12*($B$10+$B$11),0)))</f>
      </c>
      <c r="D270" s="3">
        <f>IF($B$22&lt;&gt;"Ready","",IF($B$6+7&gt;=$B$8,"",IF(A270&lt;$B$7,0,12*(IF($B$13&gt;0,IF(A270&gt;=$B$14,$B$13,0),0)+IF($B$15&gt;0,IF(A270&gt;=$B$16,$B$15,0),0)))))</f>
      </c>
      <c r="E270" s="3">
        <f>IF($B$22&lt;&gt;"Ready","",IF($B$6+7&gt;=$B$8,"",IF(A270&lt;$B$7,0,12*$B$12)))</f>
      </c>
      <c r="F270" s="3">
        <f>IF($B$22&lt;&gt;"Ready","",IF($B$6+7&gt;=$B$8,"",MAX(0,E270-D270)))</f>
      </c>
      <c r="G270" s="3">
        <f>IF($B$22&lt;&gt;"Ready","",IF($B$6+7&gt;=$B$8,"",MAX(0,B270*(1+$B$29)+C270-F270)))</f>
      </c>
      <c r="H270" s="3">
        <f>IF($B$22&lt;&gt;"Ready","",IF($B$6+7&gt;=$B$8,"",ROUND(IF(ABS((MAX(0,F270-(B270*(1+$B$29)+C270))*100)-(INT(MAX(0,F270-(B270*(1+$B$29)+C270))*100)+0.5))&lt;=MIN(0.0000001,4*2.220446049250313E-16*MAX(1,ABS(F270),ABS(B270*(1+$B$29)+C270))*100),(INT(MAX(0,F270-(B270*(1+$B$29)+C270))*100)+0.5),MAX(0,F270-(B270*(1+$B$29)+C270))*100),0)/100))</f>
      </c>
      <c r="I270" s="0">
        <f>IF($B$22&lt;&gt;"Ready","",IF($B$6+7&gt;=$B$8,"",IF(I269&lt;&gt;"",I269,IF(H270&gt;0,A270+1,""))))</f>
      </c>
    </row>
    <row r="271" ht="15" customHeight="1">
      <c r="A271" s="0">
        <f>IF($B$22&lt;&gt;"Ready","",IF($B$6+8&gt;=$B$8,"",$B$6+8))</f>
      </c>
      <c r="B271" s="3">
        <f>IF($B$22&lt;&gt;"Ready","",IF($B$6+8&gt;=$B$8,"",G270))</f>
      </c>
      <c r="C271" s="3">
        <f>IF($B$22&lt;&gt;"Ready","",IF($B$6+8&gt;=$B$8,"",IF(A271&lt;$B$7,12*($B$10+$B$11),0)))</f>
      </c>
      <c r="D271" s="3">
        <f>IF($B$22&lt;&gt;"Ready","",IF($B$6+8&gt;=$B$8,"",IF(A271&lt;$B$7,0,12*(IF($B$13&gt;0,IF(A271&gt;=$B$14,$B$13,0),0)+IF($B$15&gt;0,IF(A271&gt;=$B$16,$B$15,0),0)))))</f>
      </c>
      <c r="E271" s="3">
        <f>IF($B$22&lt;&gt;"Ready","",IF($B$6+8&gt;=$B$8,"",IF(A271&lt;$B$7,0,12*$B$12)))</f>
      </c>
      <c r="F271" s="3">
        <f>IF($B$22&lt;&gt;"Ready","",IF($B$6+8&gt;=$B$8,"",MAX(0,E271-D271)))</f>
      </c>
      <c r="G271" s="3">
        <f>IF($B$22&lt;&gt;"Ready","",IF($B$6+8&gt;=$B$8,"",MAX(0,B271*(1+$B$29)+C271-F271)))</f>
      </c>
      <c r="H271" s="3">
        <f>IF($B$22&lt;&gt;"Ready","",IF($B$6+8&gt;=$B$8,"",ROUND(IF(ABS((MAX(0,F271-(B271*(1+$B$29)+C271))*100)-(INT(MAX(0,F271-(B271*(1+$B$29)+C271))*100)+0.5))&lt;=MIN(0.0000001,4*2.220446049250313E-16*MAX(1,ABS(F271),ABS(B271*(1+$B$29)+C271))*100),(INT(MAX(0,F271-(B271*(1+$B$29)+C271))*100)+0.5),MAX(0,F271-(B271*(1+$B$29)+C271))*100),0)/100))</f>
      </c>
      <c r="I271" s="0">
        <f>IF($B$22&lt;&gt;"Ready","",IF($B$6+8&gt;=$B$8,"",IF(I270&lt;&gt;"",I270,IF(H271&gt;0,A271+1,""))))</f>
      </c>
    </row>
    <row r="272" ht="15" customHeight="1">
      <c r="A272" s="0">
        <f>IF($B$22&lt;&gt;"Ready","",IF($B$6+9&gt;=$B$8,"",$B$6+9))</f>
      </c>
      <c r="B272" s="3">
        <f>IF($B$22&lt;&gt;"Ready","",IF($B$6+9&gt;=$B$8,"",G271))</f>
      </c>
      <c r="C272" s="3">
        <f>IF($B$22&lt;&gt;"Ready","",IF($B$6+9&gt;=$B$8,"",IF(A272&lt;$B$7,12*($B$10+$B$11),0)))</f>
      </c>
      <c r="D272" s="3">
        <f>IF($B$22&lt;&gt;"Ready","",IF($B$6+9&gt;=$B$8,"",IF(A272&lt;$B$7,0,12*(IF($B$13&gt;0,IF(A272&gt;=$B$14,$B$13,0),0)+IF($B$15&gt;0,IF(A272&gt;=$B$16,$B$15,0),0)))))</f>
      </c>
      <c r="E272" s="3">
        <f>IF($B$22&lt;&gt;"Ready","",IF($B$6+9&gt;=$B$8,"",IF(A272&lt;$B$7,0,12*$B$12)))</f>
      </c>
      <c r="F272" s="3">
        <f>IF($B$22&lt;&gt;"Ready","",IF($B$6+9&gt;=$B$8,"",MAX(0,E272-D272)))</f>
      </c>
      <c r="G272" s="3">
        <f>IF($B$22&lt;&gt;"Ready","",IF($B$6+9&gt;=$B$8,"",MAX(0,B272*(1+$B$29)+C272-F272)))</f>
      </c>
      <c r="H272" s="3">
        <f>IF($B$22&lt;&gt;"Ready","",IF($B$6+9&gt;=$B$8,"",ROUND(IF(ABS((MAX(0,F272-(B272*(1+$B$29)+C272))*100)-(INT(MAX(0,F272-(B272*(1+$B$29)+C272))*100)+0.5))&lt;=MIN(0.0000001,4*2.220446049250313E-16*MAX(1,ABS(F272),ABS(B272*(1+$B$29)+C272))*100),(INT(MAX(0,F272-(B272*(1+$B$29)+C272))*100)+0.5),MAX(0,F272-(B272*(1+$B$29)+C272))*100),0)/100))</f>
      </c>
      <c r="I272" s="0">
        <f>IF($B$22&lt;&gt;"Ready","",IF($B$6+9&gt;=$B$8,"",IF(I271&lt;&gt;"",I271,IF(H272&gt;0,A272+1,""))))</f>
      </c>
    </row>
    <row r="273" ht="15" customHeight="1">
      <c r="A273" s="0">
        <f>IF($B$22&lt;&gt;"Ready","",IF($B$6+10&gt;=$B$8,"",$B$6+10))</f>
      </c>
      <c r="B273" s="3">
        <f>IF($B$22&lt;&gt;"Ready","",IF($B$6+10&gt;=$B$8,"",G272))</f>
      </c>
      <c r="C273" s="3">
        <f>IF($B$22&lt;&gt;"Ready","",IF($B$6+10&gt;=$B$8,"",IF(A273&lt;$B$7,12*($B$10+$B$11),0)))</f>
      </c>
      <c r="D273" s="3">
        <f>IF($B$22&lt;&gt;"Ready","",IF($B$6+10&gt;=$B$8,"",IF(A273&lt;$B$7,0,12*(IF($B$13&gt;0,IF(A273&gt;=$B$14,$B$13,0),0)+IF($B$15&gt;0,IF(A273&gt;=$B$16,$B$15,0),0)))))</f>
      </c>
      <c r="E273" s="3">
        <f>IF($B$22&lt;&gt;"Ready","",IF($B$6+10&gt;=$B$8,"",IF(A273&lt;$B$7,0,12*$B$12)))</f>
      </c>
      <c r="F273" s="3">
        <f>IF($B$22&lt;&gt;"Ready","",IF($B$6+10&gt;=$B$8,"",MAX(0,E273-D273)))</f>
      </c>
      <c r="G273" s="3">
        <f>IF($B$22&lt;&gt;"Ready","",IF($B$6+10&gt;=$B$8,"",MAX(0,B273*(1+$B$29)+C273-F273)))</f>
      </c>
      <c r="H273" s="3">
        <f>IF($B$22&lt;&gt;"Ready","",IF($B$6+10&gt;=$B$8,"",ROUND(IF(ABS((MAX(0,F273-(B273*(1+$B$29)+C273))*100)-(INT(MAX(0,F273-(B273*(1+$B$29)+C273))*100)+0.5))&lt;=MIN(0.0000001,4*2.220446049250313E-16*MAX(1,ABS(F273),ABS(B273*(1+$B$29)+C273))*100),(INT(MAX(0,F273-(B273*(1+$B$29)+C273))*100)+0.5),MAX(0,F273-(B273*(1+$B$29)+C273))*100),0)/100))</f>
      </c>
      <c r="I273" s="0">
        <f>IF($B$22&lt;&gt;"Ready","",IF($B$6+10&gt;=$B$8,"",IF(I272&lt;&gt;"",I272,IF(H273&gt;0,A273+1,""))))</f>
      </c>
    </row>
    <row r="274" ht="15" customHeight="1">
      <c r="A274" s="0">
        <f>IF($B$22&lt;&gt;"Ready","",IF($B$6+11&gt;=$B$8,"",$B$6+11))</f>
      </c>
      <c r="B274" s="3">
        <f>IF($B$22&lt;&gt;"Ready","",IF($B$6+11&gt;=$B$8,"",G273))</f>
      </c>
      <c r="C274" s="3">
        <f>IF($B$22&lt;&gt;"Ready","",IF($B$6+11&gt;=$B$8,"",IF(A274&lt;$B$7,12*($B$10+$B$11),0)))</f>
      </c>
      <c r="D274" s="3">
        <f>IF($B$22&lt;&gt;"Ready","",IF($B$6+11&gt;=$B$8,"",IF(A274&lt;$B$7,0,12*(IF($B$13&gt;0,IF(A274&gt;=$B$14,$B$13,0),0)+IF($B$15&gt;0,IF(A274&gt;=$B$16,$B$15,0),0)))))</f>
      </c>
      <c r="E274" s="3">
        <f>IF($B$22&lt;&gt;"Ready","",IF($B$6+11&gt;=$B$8,"",IF(A274&lt;$B$7,0,12*$B$12)))</f>
      </c>
      <c r="F274" s="3">
        <f>IF($B$22&lt;&gt;"Ready","",IF($B$6+11&gt;=$B$8,"",MAX(0,E274-D274)))</f>
      </c>
      <c r="G274" s="3">
        <f>IF($B$22&lt;&gt;"Ready","",IF($B$6+11&gt;=$B$8,"",MAX(0,B274*(1+$B$29)+C274-F274)))</f>
      </c>
      <c r="H274" s="3">
        <f>IF($B$22&lt;&gt;"Ready","",IF($B$6+11&gt;=$B$8,"",ROUND(IF(ABS((MAX(0,F274-(B274*(1+$B$29)+C274))*100)-(INT(MAX(0,F274-(B274*(1+$B$29)+C274))*100)+0.5))&lt;=MIN(0.0000001,4*2.220446049250313E-16*MAX(1,ABS(F274),ABS(B274*(1+$B$29)+C274))*100),(INT(MAX(0,F274-(B274*(1+$B$29)+C274))*100)+0.5),MAX(0,F274-(B274*(1+$B$29)+C274))*100),0)/100))</f>
      </c>
      <c r="I274" s="0">
        <f>IF($B$22&lt;&gt;"Ready","",IF($B$6+11&gt;=$B$8,"",IF(I273&lt;&gt;"",I273,IF(H274&gt;0,A274+1,""))))</f>
      </c>
    </row>
    <row r="275" ht="15" customHeight="1">
      <c r="A275" s="0">
        <f>IF($B$22&lt;&gt;"Ready","",IF($B$6+12&gt;=$B$8,"",$B$6+12))</f>
      </c>
      <c r="B275" s="3">
        <f>IF($B$22&lt;&gt;"Ready","",IF($B$6+12&gt;=$B$8,"",G274))</f>
      </c>
      <c r="C275" s="3">
        <f>IF($B$22&lt;&gt;"Ready","",IF($B$6+12&gt;=$B$8,"",IF(A275&lt;$B$7,12*($B$10+$B$11),0)))</f>
      </c>
      <c r="D275" s="3">
        <f>IF($B$22&lt;&gt;"Ready","",IF($B$6+12&gt;=$B$8,"",IF(A275&lt;$B$7,0,12*(IF($B$13&gt;0,IF(A275&gt;=$B$14,$B$13,0),0)+IF($B$15&gt;0,IF(A275&gt;=$B$16,$B$15,0),0)))))</f>
      </c>
      <c r="E275" s="3">
        <f>IF($B$22&lt;&gt;"Ready","",IF($B$6+12&gt;=$B$8,"",IF(A275&lt;$B$7,0,12*$B$12)))</f>
      </c>
      <c r="F275" s="3">
        <f>IF($B$22&lt;&gt;"Ready","",IF($B$6+12&gt;=$B$8,"",MAX(0,E275-D275)))</f>
      </c>
      <c r="G275" s="3">
        <f>IF($B$22&lt;&gt;"Ready","",IF($B$6+12&gt;=$B$8,"",MAX(0,B275*(1+$B$29)+C275-F275)))</f>
      </c>
      <c r="H275" s="3">
        <f>IF($B$22&lt;&gt;"Ready","",IF($B$6+12&gt;=$B$8,"",ROUND(IF(ABS((MAX(0,F275-(B275*(1+$B$29)+C275))*100)-(INT(MAX(0,F275-(B275*(1+$B$29)+C275))*100)+0.5))&lt;=MIN(0.0000001,4*2.220446049250313E-16*MAX(1,ABS(F275),ABS(B275*(1+$B$29)+C275))*100),(INT(MAX(0,F275-(B275*(1+$B$29)+C275))*100)+0.5),MAX(0,F275-(B275*(1+$B$29)+C275))*100),0)/100))</f>
      </c>
      <c r="I275" s="0">
        <f>IF($B$22&lt;&gt;"Ready","",IF($B$6+12&gt;=$B$8,"",IF(I274&lt;&gt;"",I274,IF(H275&gt;0,A275+1,""))))</f>
      </c>
    </row>
    <row r="276" ht="15" customHeight="1">
      <c r="A276" s="0">
        <f>IF($B$22&lt;&gt;"Ready","",IF($B$6+13&gt;=$B$8,"",$B$6+13))</f>
      </c>
      <c r="B276" s="3">
        <f>IF($B$22&lt;&gt;"Ready","",IF($B$6+13&gt;=$B$8,"",G275))</f>
      </c>
      <c r="C276" s="3">
        <f>IF($B$22&lt;&gt;"Ready","",IF($B$6+13&gt;=$B$8,"",IF(A276&lt;$B$7,12*($B$10+$B$11),0)))</f>
      </c>
      <c r="D276" s="3">
        <f>IF($B$22&lt;&gt;"Ready","",IF($B$6+13&gt;=$B$8,"",IF(A276&lt;$B$7,0,12*(IF($B$13&gt;0,IF(A276&gt;=$B$14,$B$13,0),0)+IF($B$15&gt;0,IF(A276&gt;=$B$16,$B$15,0),0)))))</f>
      </c>
      <c r="E276" s="3">
        <f>IF($B$22&lt;&gt;"Ready","",IF($B$6+13&gt;=$B$8,"",IF(A276&lt;$B$7,0,12*$B$12)))</f>
      </c>
      <c r="F276" s="3">
        <f>IF($B$22&lt;&gt;"Ready","",IF($B$6+13&gt;=$B$8,"",MAX(0,E276-D276)))</f>
      </c>
      <c r="G276" s="3">
        <f>IF($B$22&lt;&gt;"Ready","",IF($B$6+13&gt;=$B$8,"",MAX(0,B276*(1+$B$29)+C276-F276)))</f>
      </c>
      <c r="H276" s="3">
        <f>IF($B$22&lt;&gt;"Ready","",IF($B$6+13&gt;=$B$8,"",ROUND(IF(ABS((MAX(0,F276-(B276*(1+$B$29)+C276))*100)-(INT(MAX(0,F276-(B276*(1+$B$29)+C276))*100)+0.5))&lt;=MIN(0.0000001,4*2.220446049250313E-16*MAX(1,ABS(F276),ABS(B276*(1+$B$29)+C276))*100),(INT(MAX(0,F276-(B276*(1+$B$29)+C276))*100)+0.5),MAX(0,F276-(B276*(1+$B$29)+C276))*100),0)/100))</f>
      </c>
      <c r="I276" s="0">
        <f>IF($B$22&lt;&gt;"Ready","",IF($B$6+13&gt;=$B$8,"",IF(I275&lt;&gt;"",I275,IF(H276&gt;0,A276+1,""))))</f>
      </c>
    </row>
    <row r="277" ht="15" customHeight="1">
      <c r="A277" s="0">
        <f>IF($B$22&lt;&gt;"Ready","",IF($B$6+14&gt;=$B$8,"",$B$6+14))</f>
      </c>
      <c r="B277" s="3">
        <f>IF($B$22&lt;&gt;"Ready","",IF($B$6+14&gt;=$B$8,"",G276))</f>
      </c>
      <c r="C277" s="3">
        <f>IF($B$22&lt;&gt;"Ready","",IF($B$6+14&gt;=$B$8,"",IF(A277&lt;$B$7,12*($B$10+$B$11),0)))</f>
      </c>
      <c r="D277" s="3">
        <f>IF($B$22&lt;&gt;"Ready","",IF($B$6+14&gt;=$B$8,"",IF(A277&lt;$B$7,0,12*(IF($B$13&gt;0,IF(A277&gt;=$B$14,$B$13,0),0)+IF($B$15&gt;0,IF(A277&gt;=$B$16,$B$15,0),0)))))</f>
      </c>
      <c r="E277" s="3">
        <f>IF($B$22&lt;&gt;"Ready","",IF($B$6+14&gt;=$B$8,"",IF(A277&lt;$B$7,0,12*$B$12)))</f>
      </c>
      <c r="F277" s="3">
        <f>IF($B$22&lt;&gt;"Ready","",IF($B$6+14&gt;=$B$8,"",MAX(0,E277-D277)))</f>
      </c>
      <c r="G277" s="3">
        <f>IF($B$22&lt;&gt;"Ready","",IF($B$6+14&gt;=$B$8,"",MAX(0,B277*(1+$B$29)+C277-F277)))</f>
      </c>
      <c r="H277" s="3">
        <f>IF($B$22&lt;&gt;"Ready","",IF($B$6+14&gt;=$B$8,"",ROUND(IF(ABS((MAX(0,F277-(B277*(1+$B$29)+C277))*100)-(INT(MAX(0,F277-(B277*(1+$B$29)+C277))*100)+0.5))&lt;=MIN(0.0000001,4*2.220446049250313E-16*MAX(1,ABS(F277),ABS(B277*(1+$B$29)+C277))*100),(INT(MAX(0,F277-(B277*(1+$B$29)+C277))*100)+0.5),MAX(0,F277-(B277*(1+$B$29)+C277))*100),0)/100))</f>
      </c>
      <c r="I277" s="0">
        <f>IF($B$22&lt;&gt;"Ready","",IF($B$6+14&gt;=$B$8,"",IF(I276&lt;&gt;"",I276,IF(H277&gt;0,A277+1,""))))</f>
      </c>
    </row>
    <row r="278" ht="15" customHeight="1">
      <c r="A278" s="0">
        <f>IF($B$22&lt;&gt;"Ready","",IF($B$6+15&gt;=$B$8,"",$B$6+15))</f>
      </c>
      <c r="B278" s="3">
        <f>IF($B$22&lt;&gt;"Ready","",IF($B$6+15&gt;=$B$8,"",G277))</f>
      </c>
      <c r="C278" s="3">
        <f>IF($B$22&lt;&gt;"Ready","",IF($B$6+15&gt;=$B$8,"",IF(A278&lt;$B$7,12*($B$10+$B$11),0)))</f>
      </c>
      <c r="D278" s="3">
        <f>IF($B$22&lt;&gt;"Ready","",IF($B$6+15&gt;=$B$8,"",IF(A278&lt;$B$7,0,12*(IF($B$13&gt;0,IF(A278&gt;=$B$14,$B$13,0),0)+IF($B$15&gt;0,IF(A278&gt;=$B$16,$B$15,0),0)))))</f>
      </c>
      <c r="E278" s="3">
        <f>IF($B$22&lt;&gt;"Ready","",IF($B$6+15&gt;=$B$8,"",IF(A278&lt;$B$7,0,12*$B$12)))</f>
      </c>
      <c r="F278" s="3">
        <f>IF($B$22&lt;&gt;"Ready","",IF($B$6+15&gt;=$B$8,"",MAX(0,E278-D278)))</f>
      </c>
      <c r="G278" s="3">
        <f>IF($B$22&lt;&gt;"Ready","",IF($B$6+15&gt;=$B$8,"",MAX(0,B278*(1+$B$29)+C278-F278)))</f>
      </c>
      <c r="H278" s="3">
        <f>IF($B$22&lt;&gt;"Ready","",IF($B$6+15&gt;=$B$8,"",ROUND(IF(ABS((MAX(0,F278-(B278*(1+$B$29)+C278))*100)-(INT(MAX(0,F278-(B278*(1+$B$29)+C278))*100)+0.5))&lt;=MIN(0.0000001,4*2.220446049250313E-16*MAX(1,ABS(F278),ABS(B278*(1+$B$29)+C278))*100),(INT(MAX(0,F278-(B278*(1+$B$29)+C278))*100)+0.5),MAX(0,F278-(B278*(1+$B$29)+C278))*100),0)/100))</f>
      </c>
      <c r="I278" s="0">
        <f>IF($B$22&lt;&gt;"Ready","",IF($B$6+15&gt;=$B$8,"",IF(I277&lt;&gt;"",I277,IF(H278&gt;0,A278+1,""))))</f>
      </c>
    </row>
    <row r="279" ht="15" customHeight="1">
      <c r="A279" s="0">
        <f>IF($B$22&lt;&gt;"Ready","",IF($B$6+16&gt;=$B$8,"",$B$6+16))</f>
      </c>
      <c r="B279" s="3">
        <f>IF($B$22&lt;&gt;"Ready","",IF($B$6+16&gt;=$B$8,"",G278))</f>
      </c>
      <c r="C279" s="3">
        <f>IF($B$22&lt;&gt;"Ready","",IF($B$6+16&gt;=$B$8,"",IF(A279&lt;$B$7,12*($B$10+$B$11),0)))</f>
      </c>
      <c r="D279" s="3">
        <f>IF($B$22&lt;&gt;"Ready","",IF($B$6+16&gt;=$B$8,"",IF(A279&lt;$B$7,0,12*(IF($B$13&gt;0,IF(A279&gt;=$B$14,$B$13,0),0)+IF($B$15&gt;0,IF(A279&gt;=$B$16,$B$15,0),0)))))</f>
      </c>
      <c r="E279" s="3">
        <f>IF($B$22&lt;&gt;"Ready","",IF($B$6+16&gt;=$B$8,"",IF(A279&lt;$B$7,0,12*$B$12)))</f>
      </c>
      <c r="F279" s="3">
        <f>IF($B$22&lt;&gt;"Ready","",IF($B$6+16&gt;=$B$8,"",MAX(0,E279-D279)))</f>
      </c>
      <c r="G279" s="3">
        <f>IF($B$22&lt;&gt;"Ready","",IF($B$6+16&gt;=$B$8,"",MAX(0,B279*(1+$B$29)+C279-F279)))</f>
      </c>
      <c r="H279" s="3">
        <f>IF($B$22&lt;&gt;"Ready","",IF($B$6+16&gt;=$B$8,"",ROUND(IF(ABS((MAX(0,F279-(B279*(1+$B$29)+C279))*100)-(INT(MAX(0,F279-(B279*(1+$B$29)+C279))*100)+0.5))&lt;=MIN(0.0000001,4*2.220446049250313E-16*MAX(1,ABS(F279),ABS(B279*(1+$B$29)+C279))*100),(INT(MAX(0,F279-(B279*(1+$B$29)+C279))*100)+0.5),MAX(0,F279-(B279*(1+$B$29)+C279))*100),0)/100))</f>
      </c>
      <c r="I279" s="0">
        <f>IF($B$22&lt;&gt;"Ready","",IF($B$6+16&gt;=$B$8,"",IF(I278&lt;&gt;"",I278,IF(H279&gt;0,A279+1,""))))</f>
      </c>
    </row>
    <row r="280" ht="15" customHeight="1">
      <c r="A280" s="0">
        <f>IF($B$22&lt;&gt;"Ready","",IF($B$6+17&gt;=$B$8,"",$B$6+17))</f>
      </c>
      <c r="B280" s="3">
        <f>IF($B$22&lt;&gt;"Ready","",IF($B$6+17&gt;=$B$8,"",G279))</f>
      </c>
      <c r="C280" s="3">
        <f>IF($B$22&lt;&gt;"Ready","",IF($B$6+17&gt;=$B$8,"",IF(A280&lt;$B$7,12*($B$10+$B$11),0)))</f>
      </c>
      <c r="D280" s="3">
        <f>IF($B$22&lt;&gt;"Ready","",IF($B$6+17&gt;=$B$8,"",IF(A280&lt;$B$7,0,12*(IF($B$13&gt;0,IF(A280&gt;=$B$14,$B$13,0),0)+IF($B$15&gt;0,IF(A280&gt;=$B$16,$B$15,0),0)))))</f>
      </c>
      <c r="E280" s="3">
        <f>IF($B$22&lt;&gt;"Ready","",IF($B$6+17&gt;=$B$8,"",IF(A280&lt;$B$7,0,12*$B$12)))</f>
      </c>
      <c r="F280" s="3">
        <f>IF($B$22&lt;&gt;"Ready","",IF($B$6+17&gt;=$B$8,"",MAX(0,E280-D280)))</f>
      </c>
      <c r="G280" s="3">
        <f>IF($B$22&lt;&gt;"Ready","",IF($B$6+17&gt;=$B$8,"",MAX(0,B280*(1+$B$29)+C280-F280)))</f>
      </c>
      <c r="H280" s="3">
        <f>IF($B$22&lt;&gt;"Ready","",IF($B$6+17&gt;=$B$8,"",ROUND(IF(ABS((MAX(0,F280-(B280*(1+$B$29)+C280))*100)-(INT(MAX(0,F280-(B280*(1+$B$29)+C280))*100)+0.5))&lt;=MIN(0.0000001,4*2.220446049250313E-16*MAX(1,ABS(F280),ABS(B280*(1+$B$29)+C280))*100),(INT(MAX(0,F280-(B280*(1+$B$29)+C280))*100)+0.5),MAX(0,F280-(B280*(1+$B$29)+C280))*100),0)/100))</f>
      </c>
      <c r="I280" s="0">
        <f>IF($B$22&lt;&gt;"Ready","",IF($B$6+17&gt;=$B$8,"",IF(I279&lt;&gt;"",I279,IF(H280&gt;0,A280+1,""))))</f>
      </c>
    </row>
    <row r="281" ht="15" customHeight="1">
      <c r="A281" s="0">
        <f>IF($B$22&lt;&gt;"Ready","",IF($B$6+18&gt;=$B$8,"",$B$6+18))</f>
      </c>
      <c r="B281" s="3">
        <f>IF($B$22&lt;&gt;"Ready","",IF($B$6+18&gt;=$B$8,"",G280))</f>
      </c>
      <c r="C281" s="3">
        <f>IF($B$22&lt;&gt;"Ready","",IF($B$6+18&gt;=$B$8,"",IF(A281&lt;$B$7,12*($B$10+$B$11),0)))</f>
      </c>
      <c r="D281" s="3">
        <f>IF($B$22&lt;&gt;"Ready","",IF($B$6+18&gt;=$B$8,"",IF(A281&lt;$B$7,0,12*(IF($B$13&gt;0,IF(A281&gt;=$B$14,$B$13,0),0)+IF($B$15&gt;0,IF(A281&gt;=$B$16,$B$15,0),0)))))</f>
      </c>
      <c r="E281" s="3">
        <f>IF($B$22&lt;&gt;"Ready","",IF($B$6+18&gt;=$B$8,"",IF(A281&lt;$B$7,0,12*$B$12)))</f>
      </c>
      <c r="F281" s="3">
        <f>IF($B$22&lt;&gt;"Ready","",IF($B$6+18&gt;=$B$8,"",MAX(0,E281-D281)))</f>
      </c>
      <c r="G281" s="3">
        <f>IF($B$22&lt;&gt;"Ready","",IF($B$6+18&gt;=$B$8,"",MAX(0,B281*(1+$B$29)+C281-F281)))</f>
      </c>
      <c r="H281" s="3">
        <f>IF($B$22&lt;&gt;"Ready","",IF($B$6+18&gt;=$B$8,"",ROUND(IF(ABS((MAX(0,F281-(B281*(1+$B$29)+C281))*100)-(INT(MAX(0,F281-(B281*(1+$B$29)+C281))*100)+0.5))&lt;=MIN(0.0000001,4*2.220446049250313E-16*MAX(1,ABS(F281),ABS(B281*(1+$B$29)+C281))*100),(INT(MAX(0,F281-(B281*(1+$B$29)+C281))*100)+0.5),MAX(0,F281-(B281*(1+$B$29)+C281))*100),0)/100))</f>
      </c>
      <c r="I281" s="0">
        <f>IF($B$22&lt;&gt;"Ready","",IF($B$6+18&gt;=$B$8,"",IF(I280&lt;&gt;"",I280,IF(H281&gt;0,A281+1,""))))</f>
      </c>
    </row>
    <row r="282" ht="15" customHeight="1">
      <c r="A282" s="0">
        <f>IF($B$22&lt;&gt;"Ready","",IF($B$6+19&gt;=$B$8,"",$B$6+19))</f>
      </c>
      <c r="B282" s="3">
        <f>IF($B$22&lt;&gt;"Ready","",IF($B$6+19&gt;=$B$8,"",G281))</f>
      </c>
      <c r="C282" s="3">
        <f>IF($B$22&lt;&gt;"Ready","",IF($B$6+19&gt;=$B$8,"",IF(A282&lt;$B$7,12*($B$10+$B$11),0)))</f>
      </c>
      <c r="D282" s="3">
        <f>IF($B$22&lt;&gt;"Ready","",IF($B$6+19&gt;=$B$8,"",IF(A282&lt;$B$7,0,12*(IF($B$13&gt;0,IF(A282&gt;=$B$14,$B$13,0),0)+IF($B$15&gt;0,IF(A282&gt;=$B$16,$B$15,0),0)))))</f>
      </c>
      <c r="E282" s="3">
        <f>IF($B$22&lt;&gt;"Ready","",IF($B$6+19&gt;=$B$8,"",IF(A282&lt;$B$7,0,12*$B$12)))</f>
      </c>
      <c r="F282" s="3">
        <f>IF($B$22&lt;&gt;"Ready","",IF($B$6+19&gt;=$B$8,"",MAX(0,E282-D282)))</f>
      </c>
      <c r="G282" s="3">
        <f>IF($B$22&lt;&gt;"Ready","",IF($B$6+19&gt;=$B$8,"",MAX(0,B282*(1+$B$29)+C282-F282)))</f>
      </c>
      <c r="H282" s="3">
        <f>IF($B$22&lt;&gt;"Ready","",IF($B$6+19&gt;=$B$8,"",ROUND(IF(ABS((MAX(0,F282-(B282*(1+$B$29)+C282))*100)-(INT(MAX(0,F282-(B282*(1+$B$29)+C282))*100)+0.5))&lt;=MIN(0.0000001,4*2.220446049250313E-16*MAX(1,ABS(F282),ABS(B282*(1+$B$29)+C282))*100),(INT(MAX(0,F282-(B282*(1+$B$29)+C282))*100)+0.5),MAX(0,F282-(B282*(1+$B$29)+C282))*100),0)/100))</f>
      </c>
      <c r="I282" s="0">
        <f>IF($B$22&lt;&gt;"Ready","",IF($B$6+19&gt;=$B$8,"",IF(I281&lt;&gt;"",I281,IF(H282&gt;0,A282+1,""))))</f>
      </c>
    </row>
    <row r="283" ht="15" customHeight="1">
      <c r="A283" s="0">
        <f>IF($B$22&lt;&gt;"Ready","",IF($B$6+20&gt;=$B$8,"",$B$6+20))</f>
      </c>
      <c r="B283" s="3">
        <f>IF($B$22&lt;&gt;"Ready","",IF($B$6+20&gt;=$B$8,"",G282))</f>
      </c>
      <c r="C283" s="3">
        <f>IF($B$22&lt;&gt;"Ready","",IF($B$6+20&gt;=$B$8,"",IF(A283&lt;$B$7,12*($B$10+$B$11),0)))</f>
      </c>
      <c r="D283" s="3">
        <f>IF($B$22&lt;&gt;"Ready","",IF($B$6+20&gt;=$B$8,"",IF(A283&lt;$B$7,0,12*(IF($B$13&gt;0,IF(A283&gt;=$B$14,$B$13,0),0)+IF($B$15&gt;0,IF(A283&gt;=$B$16,$B$15,0),0)))))</f>
      </c>
      <c r="E283" s="3">
        <f>IF($B$22&lt;&gt;"Ready","",IF($B$6+20&gt;=$B$8,"",IF(A283&lt;$B$7,0,12*$B$12)))</f>
      </c>
      <c r="F283" s="3">
        <f>IF($B$22&lt;&gt;"Ready","",IF($B$6+20&gt;=$B$8,"",MAX(0,E283-D283)))</f>
      </c>
      <c r="G283" s="3">
        <f>IF($B$22&lt;&gt;"Ready","",IF($B$6+20&gt;=$B$8,"",MAX(0,B283*(1+$B$29)+C283-F283)))</f>
      </c>
      <c r="H283" s="3">
        <f>IF($B$22&lt;&gt;"Ready","",IF($B$6+20&gt;=$B$8,"",ROUND(IF(ABS((MAX(0,F283-(B283*(1+$B$29)+C283))*100)-(INT(MAX(0,F283-(B283*(1+$B$29)+C283))*100)+0.5))&lt;=MIN(0.0000001,4*2.220446049250313E-16*MAX(1,ABS(F283),ABS(B283*(1+$B$29)+C283))*100),(INT(MAX(0,F283-(B283*(1+$B$29)+C283))*100)+0.5),MAX(0,F283-(B283*(1+$B$29)+C283))*100),0)/100))</f>
      </c>
      <c r="I283" s="0">
        <f>IF($B$22&lt;&gt;"Ready","",IF($B$6+20&gt;=$B$8,"",IF(I282&lt;&gt;"",I282,IF(H283&gt;0,A283+1,""))))</f>
      </c>
    </row>
    <row r="284" ht="15" customHeight="1">
      <c r="A284" s="0">
        <f>IF($B$22&lt;&gt;"Ready","",IF($B$6+21&gt;=$B$8,"",$B$6+21))</f>
      </c>
      <c r="B284" s="3">
        <f>IF($B$22&lt;&gt;"Ready","",IF($B$6+21&gt;=$B$8,"",G283))</f>
      </c>
      <c r="C284" s="3">
        <f>IF($B$22&lt;&gt;"Ready","",IF($B$6+21&gt;=$B$8,"",IF(A284&lt;$B$7,12*($B$10+$B$11),0)))</f>
      </c>
      <c r="D284" s="3">
        <f>IF($B$22&lt;&gt;"Ready","",IF($B$6+21&gt;=$B$8,"",IF(A284&lt;$B$7,0,12*(IF($B$13&gt;0,IF(A284&gt;=$B$14,$B$13,0),0)+IF($B$15&gt;0,IF(A284&gt;=$B$16,$B$15,0),0)))))</f>
      </c>
      <c r="E284" s="3">
        <f>IF($B$22&lt;&gt;"Ready","",IF($B$6+21&gt;=$B$8,"",IF(A284&lt;$B$7,0,12*$B$12)))</f>
      </c>
      <c r="F284" s="3">
        <f>IF($B$22&lt;&gt;"Ready","",IF($B$6+21&gt;=$B$8,"",MAX(0,E284-D284)))</f>
      </c>
      <c r="G284" s="3">
        <f>IF($B$22&lt;&gt;"Ready","",IF($B$6+21&gt;=$B$8,"",MAX(0,B284*(1+$B$29)+C284-F284)))</f>
      </c>
      <c r="H284" s="3">
        <f>IF($B$22&lt;&gt;"Ready","",IF($B$6+21&gt;=$B$8,"",ROUND(IF(ABS((MAX(0,F284-(B284*(1+$B$29)+C284))*100)-(INT(MAX(0,F284-(B284*(1+$B$29)+C284))*100)+0.5))&lt;=MIN(0.0000001,4*2.220446049250313E-16*MAX(1,ABS(F284),ABS(B284*(1+$B$29)+C284))*100),(INT(MAX(0,F284-(B284*(1+$B$29)+C284))*100)+0.5),MAX(0,F284-(B284*(1+$B$29)+C284))*100),0)/100))</f>
      </c>
      <c r="I284" s="0">
        <f>IF($B$22&lt;&gt;"Ready","",IF($B$6+21&gt;=$B$8,"",IF(I283&lt;&gt;"",I283,IF(H284&gt;0,A284+1,""))))</f>
      </c>
    </row>
    <row r="285" ht="15" customHeight="1">
      <c r="A285" s="0">
        <f>IF($B$22&lt;&gt;"Ready","",IF($B$6+22&gt;=$B$8,"",$B$6+22))</f>
      </c>
      <c r="B285" s="3">
        <f>IF($B$22&lt;&gt;"Ready","",IF($B$6+22&gt;=$B$8,"",G284))</f>
      </c>
      <c r="C285" s="3">
        <f>IF($B$22&lt;&gt;"Ready","",IF($B$6+22&gt;=$B$8,"",IF(A285&lt;$B$7,12*($B$10+$B$11),0)))</f>
      </c>
      <c r="D285" s="3">
        <f>IF($B$22&lt;&gt;"Ready","",IF($B$6+22&gt;=$B$8,"",IF(A285&lt;$B$7,0,12*(IF($B$13&gt;0,IF(A285&gt;=$B$14,$B$13,0),0)+IF($B$15&gt;0,IF(A285&gt;=$B$16,$B$15,0),0)))))</f>
      </c>
      <c r="E285" s="3">
        <f>IF($B$22&lt;&gt;"Ready","",IF($B$6+22&gt;=$B$8,"",IF(A285&lt;$B$7,0,12*$B$12)))</f>
      </c>
      <c r="F285" s="3">
        <f>IF($B$22&lt;&gt;"Ready","",IF($B$6+22&gt;=$B$8,"",MAX(0,E285-D285)))</f>
      </c>
      <c r="G285" s="3">
        <f>IF($B$22&lt;&gt;"Ready","",IF($B$6+22&gt;=$B$8,"",MAX(0,B285*(1+$B$29)+C285-F285)))</f>
      </c>
      <c r="H285" s="3">
        <f>IF($B$22&lt;&gt;"Ready","",IF($B$6+22&gt;=$B$8,"",ROUND(IF(ABS((MAX(0,F285-(B285*(1+$B$29)+C285))*100)-(INT(MAX(0,F285-(B285*(1+$B$29)+C285))*100)+0.5))&lt;=MIN(0.0000001,4*2.220446049250313E-16*MAX(1,ABS(F285),ABS(B285*(1+$B$29)+C285))*100),(INT(MAX(0,F285-(B285*(1+$B$29)+C285))*100)+0.5),MAX(0,F285-(B285*(1+$B$29)+C285))*100),0)/100))</f>
      </c>
      <c r="I285" s="0">
        <f>IF($B$22&lt;&gt;"Ready","",IF($B$6+22&gt;=$B$8,"",IF(I284&lt;&gt;"",I284,IF(H285&gt;0,A285+1,""))))</f>
      </c>
    </row>
    <row r="286" ht="15" customHeight="1">
      <c r="A286" s="0">
        <f>IF($B$22&lt;&gt;"Ready","",IF($B$6+23&gt;=$B$8,"",$B$6+23))</f>
      </c>
      <c r="B286" s="3">
        <f>IF($B$22&lt;&gt;"Ready","",IF($B$6+23&gt;=$B$8,"",G285))</f>
      </c>
      <c r="C286" s="3">
        <f>IF($B$22&lt;&gt;"Ready","",IF($B$6+23&gt;=$B$8,"",IF(A286&lt;$B$7,12*($B$10+$B$11),0)))</f>
      </c>
      <c r="D286" s="3">
        <f>IF($B$22&lt;&gt;"Ready","",IF($B$6+23&gt;=$B$8,"",IF(A286&lt;$B$7,0,12*(IF($B$13&gt;0,IF(A286&gt;=$B$14,$B$13,0),0)+IF($B$15&gt;0,IF(A286&gt;=$B$16,$B$15,0),0)))))</f>
      </c>
      <c r="E286" s="3">
        <f>IF($B$22&lt;&gt;"Ready","",IF($B$6+23&gt;=$B$8,"",IF(A286&lt;$B$7,0,12*$B$12)))</f>
      </c>
      <c r="F286" s="3">
        <f>IF($B$22&lt;&gt;"Ready","",IF($B$6+23&gt;=$B$8,"",MAX(0,E286-D286)))</f>
      </c>
      <c r="G286" s="3">
        <f>IF($B$22&lt;&gt;"Ready","",IF($B$6+23&gt;=$B$8,"",MAX(0,B286*(1+$B$29)+C286-F286)))</f>
      </c>
      <c r="H286" s="3">
        <f>IF($B$22&lt;&gt;"Ready","",IF($B$6+23&gt;=$B$8,"",ROUND(IF(ABS((MAX(0,F286-(B286*(1+$B$29)+C286))*100)-(INT(MAX(0,F286-(B286*(1+$B$29)+C286))*100)+0.5))&lt;=MIN(0.0000001,4*2.220446049250313E-16*MAX(1,ABS(F286),ABS(B286*(1+$B$29)+C286))*100),(INT(MAX(0,F286-(B286*(1+$B$29)+C286))*100)+0.5),MAX(0,F286-(B286*(1+$B$29)+C286))*100),0)/100))</f>
      </c>
      <c r="I286" s="0">
        <f>IF($B$22&lt;&gt;"Ready","",IF($B$6+23&gt;=$B$8,"",IF(I285&lt;&gt;"",I285,IF(H286&gt;0,A286+1,""))))</f>
      </c>
    </row>
    <row r="287" ht="15" customHeight="1">
      <c r="A287" s="0">
        <f>IF($B$22&lt;&gt;"Ready","",IF($B$6+24&gt;=$B$8,"",$B$6+24))</f>
      </c>
      <c r="B287" s="3">
        <f>IF($B$22&lt;&gt;"Ready","",IF($B$6+24&gt;=$B$8,"",G286))</f>
      </c>
      <c r="C287" s="3">
        <f>IF($B$22&lt;&gt;"Ready","",IF($B$6+24&gt;=$B$8,"",IF(A287&lt;$B$7,12*($B$10+$B$11),0)))</f>
      </c>
      <c r="D287" s="3">
        <f>IF($B$22&lt;&gt;"Ready","",IF($B$6+24&gt;=$B$8,"",IF(A287&lt;$B$7,0,12*(IF($B$13&gt;0,IF(A287&gt;=$B$14,$B$13,0),0)+IF($B$15&gt;0,IF(A287&gt;=$B$16,$B$15,0),0)))))</f>
      </c>
      <c r="E287" s="3">
        <f>IF($B$22&lt;&gt;"Ready","",IF($B$6+24&gt;=$B$8,"",IF(A287&lt;$B$7,0,12*$B$12)))</f>
      </c>
      <c r="F287" s="3">
        <f>IF($B$22&lt;&gt;"Ready","",IF($B$6+24&gt;=$B$8,"",MAX(0,E287-D287)))</f>
      </c>
      <c r="G287" s="3">
        <f>IF($B$22&lt;&gt;"Ready","",IF($B$6+24&gt;=$B$8,"",MAX(0,B287*(1+$B$29)+C287-F287)))</f>
      </c>
      <c r="H287" s="3">
        <f>IF($B$22&lt;&gt;"Ready","",IF($B$6+24&gt;=$B$8,"",ROUND(IF(ABS((MAX(0,F287-(B287*(1+$B$29)+C287))*100)-(INT(MAX(0,F287-(B287*(1+$B$29)+C287))*100)+0.5))&lt;=MIN(0.0000001,4*2.220446049250313E-16*MAX(1,ABS(F287),ABS(B287*(1+$B$29)+C287))*100),(INT(MAX(0,F287-(B287*(1+$B$29)+C287))*100)+0.5),MAX(0,F287-(B287*(1+$B$29)+C287))*100),0)/100))</f>
      </c>
      <c r="I287" s="0">
        <f>IF($B$22&lt;&gt;"Ready","",IF($B$6+24&gt;=$B$8,"",IF(I286&lt;&gt;"",I286,IF(H287&gt;0,A287+1,""))))</f>
      </c>
    </row>
    <row r="288" ht="15" customHeight="1">
      <c r="A288" s="0">
        <f>IF($B$22&lt;&gt;"Ready","",IF($B$6+25&gt;=$B$8,"",$B$6+25))</f>
      </c>
      <c r="B288" s="3">
        <f>IF($B$22&lt;&gt;"Ready","",IF($B$6+25&gt;=$B$8,"",G287))</f>
      </c>
      <c r="C288" s="3">
        <f>IF($B$22&lt;&gt;"Ready","",IF($B$6+25&gt;=$B$8,"",IF(A288&lt;$B$7,12*($B$10+$B$11),0)))</f>
      </c>
      <c r="D288" s="3">
        <f>IF($B$22&lt;&gt;"Ready","",IF($B$6+25&gt;=$B$8,"",IF(A288&lt;$B$7,0,12*(IF($B$13&gt;0,IF(A288&gt;=$B$14,$B$13,0),0)+IF($B$15&gt;0,IF(A288&gt;=$B$16,$B$15,0),0)))))</f>
      </c>
      <c r="E288" s="3">
        <f>IF($B$22&lt;&gt;"Ready","",IF($B$6+25&gt;=$B$8,"",IF(A288&lt;$B$7,0,12*$B$12)))</f>
      </c>
      <c r="F288" s="3">
        <f>IF($B$22&lt;&gt;"Ready","",IF($B$6+25&gt;=$B$8,"",MAX(0,E288-D288)))</f>
      </c>
      <c r="G288" s="3">
        <f>IF($B$22&lt;&gt;"Ready","",IF($B$6+25&gt;=$B$8,"",MAX(0,B288*(1+$B$29)+C288-F288)))</f>
      </c>
      <c r="H288" s="3">
        <f>IF($B$22&lt;&gt;"Ready","",IF($B$6+25&gt;=$B$8,"",ROUND(IF(ABS((MAX(0,F288-(B288*(1+$B$29)+C288))*100)-(INT(MAX(0,F288-(B288*(1+$B$29)+C288))*100)+0.5))&lt;=MIN(0.0000001,4*2.220446049250313E-16*MAX(1,ABS(F288),ABS(B288*(1+$B$29)+C288))*100),(INT(MAX(0,F288-(B288*(1+$B$29)+C288))*100)+0.5),MAX(0,F288-(B288*(1+$B$29)+C288))*100),0)/100))</f>
      </c>
      <c r="I288" s="0">
        <f>IF($B$22&lt;&gt;"Ready","",IF($B$6+25&gt;=$B$8,"",IF(I287&lt;&gt;"",I287,IF(H288&gt;0,A288+1,""))))</f>
      </c>
    </row>
    <row r="289" ht="15" customHeight="1">
      <c r="A289" s="0">
        <f>IF($B$22&lt;&gt;"Ready","",IF($B$6+26&gt;=$B$8,"",$B$6+26))</f>
      </c>
      <c r="B289" s="3">
        <f>IF($B$22&lt;&gt;"Ready","",IF($B$6+26&gt;=$B$8,"",G288))</f>
      </c>
      <c r="C289" s="3">
        <f>IF($B$22&lt;&gt;"Ready","",IF($B$6+26&gt;=$B$8,"",IF(A289&lt;$B$7,12*($B$10+$B$11),0)))</f>
      </c>
      <c r="D289" s="3">
        <f>IF($B$22&lt;&gt;"Ready","",IF($B$6+26&gt;=$B$8,"",IF(A289&lt;$B$7,0,12*(IF($B$13&gt;0,IF(A289&gt;=$B$14,$B$13,0),0)+IF($B$15&gt;0,IF(A289&gt;=$B$16,$B$15,0),0)))))</f>
      </c>
      <c r="E289" s="3">
        <f>IF($B$22&lt;&gt;"Ready","",IF($B$6+26&gt;=$B$8,"",IF(A289&lt;$B$7,0,12*$B$12)))</f>
      </c>
      <c r="F289" s="3">
        <f>IF($B$22&lt;&gt;"Ready","",IF($B$6+26&gt;=$B$8,"",MAX(0,E289-D289)))</f>
      </c>
      <c r="G289" s="3">
        <f>IF($B$22&lt;&gt;"Ready","",IF($B$6+26&gt;=$B$8,"",MAX(0,B289*(1+$B$29)+C289-F289)))</f>
      </c>
      <c r="H289" s="3">
        <f>IF($B$22&lt;&gt;"Ready","",IF($B$6+26&gt;=$B$8,"",ROUND(IF(ABS((MAX(0,F289-(B289*(1+$B$29)+C289))*100)-(INT(MAX(0,F289-(B289*(1+$B$29)+C289))*100)+0.5))&lt;=MIN(0.0000001,4*2.220446049250313E-16*MAX(1,ABS(F289),ABS(B289*(1+$B$29)+C289))*100),(INT(MAX(0,F289-(B289*(1+$B$29)+C289))*100)+0.5),MAX(0,F289-(B289*(1+$B$29)+C289))*100),0)/100))</f>
      </c>
      <c r="I289" s="0">
        <f>IF($B$22&lt;&gt;"Ready","",IF($B$6+26&gt;=$B$8,"",IF(I288&lt;&gt;"",I288,IF(H289&gt;0,A289+1,""))))</f>
      </c>
    </row>
    <row r="290" ht="15" customHeight="1">
      <c r="A290" s="0">
        <f>IF($B$22&lt;&gt;"Ready","",IF($B$6+27&gt;=$B$8,"",$B$6+27))</f>
      </c>
      <c r="B290" s="3">
        <f>IF($B$22&lt;&gt;"Ready","",IF($B$6+27&gt;=$B$8,"",G289))</f>
      </c>
      <c r="C290" s="3">
        <f>IF($B$22&lt;&gt;"Ready","",IF($B$6+27&gt;=$B$8,"",IF(A290&lt;$B$7,12*($B$10+$B$11),0)))</f>
      </c>
      <c r="D290" s="3">
        <f>IF($B$22&lt;&gt;"Ready","",IF($B$6+27&gt;=$B$8,"",IF(A290&lt;$B$7,0,12*(IF($B$13&gt;0,IF(A290&gt;=$B$14,$B$13,0),0)+IF($B$15&gt;0,IF(A290&gt;=$B$16,$B$15,0),0)))))</f>
      </c>
      <c r="E290" s="3">
        <f>IF($B$22&lt;&gt;"Ready","",IF($B$6+27&gt;=$B$8,"",IF(A290&lt;$B$7,0,12*$B$12)))</f>
      </c>
      <c r="F290" s="3">
        <f>IF($B$22&lt;&gt;"Ready","",IF($B$6+27&gt;=$B$8,"",MAX(0,E290-D290)))</f>
      </c>
      <c r="G290" s="3">
        <f>IF($B$22&lt;&gt;"Ready","",IF($B$6+27&gt;=$B$8,"",MAX(0,B290*(1+$B$29)+C290-F290)))</f>
      </c>
      <c r="H290" s="3">
        <f>IF($B$22&lt;&gt;"Ready","",IF($B$6+27&gt;=$B$8,"",ROUND(IF(ABS((MAX(0,F290-(B290*(1+$B$29)+C290))*100)-(INT(MAX(0,F290-(B290*(1+$B$29)+C290))*100)+0.5))&lt;=MIN(0.0000001,4*2.220446049250313E-16*MAX(1,ABS(F290),ABS(B290*(1+$B$29)+C290))*100),(INT(MAX(0,F290-(B290*(1+$B$29)+C290))*100)+0.5),MAX(0,F290-(B290*(1+$B$29)+C290))*100),0)/100))</f>
      </c>
      <c r="I290" s="0">
        <f>IF($B$22&lt;&gt;"Ready","",IF($B$6+27&gt;=$B$8,"",IF(I289&lt;&gt;"",I289,IF(H290&gt;0,A290+1,""))))</f>
      </c>
    </row>
    <row r="291" ht="15" customHeight="1">
      <c r="A291" s="0">
        <f>IF($B$22&lt;&gt;"Ready","",IF($B$6+28&gt;=$B$8,"",$B$6+28))</f>
      </c>
      <c r="B291" s="3">
        <f>IF($B$22&lt;&gt;"Ready","",IF($B$6+28&gt;=$B$8,"",G290))</f>
      </c>
      <c r="C291" s="3">
        <f>IF($B$22&lt;&gt;"Ready","",IF($B$6+28&gt;=$B$8,"",IF(A291&lt;$B$7,12*($B$10+$B$11),0)))</f>
      </c>
      <c r="D291" s="3">
        <f>IF($B$22&lt;&gt;"Ready","",IF($B$6+28&gt;=$B$8,"",IF(A291&lt;$B$7,0,12*(IF($B$13&gt;0,IF(A291&gt;=$B$14,$B$13,0),0)+IF($B$15&gt;0,IF(A291&gt;=$B$16,$B$15,0),0)))))</f>
      </c>
      <c r="E291" s="3">
        <f>IF($B$22&lt;&gt;"Ready","",IF($B$6+28&gt;=$B$8,"",IF(A291&lt;$B$7,0,12*$B$12)))</f>
      </c>
      <c r="F291" s="3">
        <f>IF($B$22&lt;&gt;"Ready","",IF($B$6+28&gt;=$B$8,"",MAX(0,E291-D291)))</f>
      </c>
      <c r="G291" s="3">
        <f>IF($B$22&lt;&gt;"Ready","",IF($B$6+28&gt;=$B$8,"",MAX(0,B291*(1+$B$29)+C291-F291)))</f>
      </c>
      <c r="H291" s="3">
        <f>IF($B$22&lt;&gt;"Ready","",IF($B$6+28&gt;=$B$8,"",ROUND(IF(ABS((MAX(0,F291-(B291*(1+$B$29)+C291))*100)-(INT(MAX(0,F291-(B291*(1+$B$29)+C291))*100)+0.5))&lt;=MIN(0.0000001,4*2.220446049250313E-16*MAX(1,ABS(F291),ABS(B291*(1+$B$29)+C291))*100),(INT(MAX(0,F291-(B291*(1+$B$29)+C291))*100)+0.5),MAX(0,F291-(B291*(1+$B$29)+C291))*100),0)/100))</f>
      </c>
      <c r="I291" s="0">
        <f>IF($B$22&lt;&gt;"Ready","",IF($B$6+28&gt;=$B$8,"",IF(I290&lt;&gt;"",I290,IF(H291&gt;0,A291+1,""))))</f>
      </c>
    </row>
    <row r="292" ht="15" customHeight="1">
      <c r="A292" s="0">
        <f>IF($B$22&lt;&gt;"Ready","",IF($B$6+29&gt;=$B$8,"",$B$6+29))</f>
      </c>
      <c r="B292" s="3">
        <f>IF($B$22&lt;&gt;"Ready","",IF($B$6+29&gt;=$B$8,"",G291))</f>
      </c>
      <c r="C292" s="3">
        <f>IF($B$22&lt;&gt;"Ready","",IF($B$6+29&gt;=$B$8,"",IF(A292&lt;$B$7,12*($B$10+$B$11),0)))</f>
      </c>
      <c r="D292" s="3">
        <f>IF($B$22&lt;&gt;"Ready","",IF($B$6+29&gt;=$B$8,"",IF(A292&lt;$B$7,0,12*(IF($B$13&gt;0,IF(A292&gt;=$B$14,$B$13,0),0)+IF($B$15&gt;0,IF(A292&gt;=$B$16,$B$15,0),0)))))</f>
      </c>
      <c r="E292" s="3">
        <f>IF($B$22&lt;&gt;"Ready","",IF($B$6+29&gt;=$B$8,"",IF(A292&lt;$B$7,0,12*$B$12)))</f>
      </c>
      <c r="F292" s="3">
        <f>IF($B$22&lt;&gt;"Ready","",IF($B$6+29&gt;=$B$8,"",MAX(0,E292-D292)))</f>
      </c>
      <c r="G292" s="3">
        <f>IF($B$22&lt;&gt;"Ready","",IF($B$6+29&gt;=$B$8,"",MAX(0,B292*(1+$B$29)+C292-F292)))</f>
      </c>
      <c r="H292" s="3">
        <f>IF($B$22&lt;&gt;"Ready","",IF($B$6+29&gt;=$B$8,"",ROUND(IF(ABS((MAX(0,F292-(B292*(1+$B$29)+C292))*100)-(INT(MAX(0,F292-(B292*(1+$B$29)+C292))*100)+0.5))&lt;=MIN(0.0000001,4*2.220446049250313E-16*MAX(1,ABS(F292),ABS(B292*(1+$B$29)+C292))*100),(INT(MAX(0,F292-(B292*(1+$B$29)+C292))*100)+0.5),MAX(0,F292-(B292*(1+$B$29)+C292))*100),0)/100))</f>
      </c>
      <c r="I292" s="0">
        <f>IF($B$22&lt;&gt;"Ready","",IF($B$6+29&gt;=$B$8,"",IF(I291&lt;&gt;"",I291,IF(H292&gt;0,A292+1,""))))</f>
      </c>
    </row>
    <row r="293" ht="15" customHeight="1">
      <c r="A293" s="0">
        <f>IF($B$22&lt;&gt;"Ready","",IF($B$6+30&gt;=$B$8,"",$B$6+30))</f>
      </c>
      <c r="B293" s="3">
        <f>IF($B$22&lt;&gt;"Ready","",IF($B$6+30&gt;=$B$8,"",G292))</f>
      </c>
      <c r="C293" s="3">
        <f>IF($B$22&lt;&gt;"Ready","",IF($B$6+30&gt;=$B$8,"",IF(A293&lt;$B$7,12*($B$10+$B$11),0)))</f>
      </c>
      <c r="D293" s="3">
        <f>IF($B$22&lt;&gt;"Ready","",IF($B$6+30&gt;=$B$8,"",IF(A293&lt;$B$7,0,12*(IF($B$13&gt;0,IF(A293&gt;=$B$14,$B$13,0),0)+IF($B$15&gt;0,IF(A293&gt;=$B$16,$B$15,0),0)))))</f>
      </c>
      <c r="E293" s="3">
        <f>IF($B$22&lt;&gt;"Ready","",IF($B$6+30&gt;=$B$8,"",IF(A293&lt;$B$7,0,12*$B$12)))</f>
      </c>
      <c r="F293" s="3">
        <f>IF($B$22&lt;&gt;"Ready","",IF($B$6+30&gt;=$B$8,"",MAX(0,E293-D293)))</f>
      </c>
      <c r="G293" s="3">
        <f>IF($B$22&lt;&gt;"Ready","",IF($B$6+30&gt;=$B$8,"",MAX(0,B293*(1+$B$29)+C293-F293)))</f>
      </c>
      <c r="H293" s="3">
        <f>IF($B$22&lt;&gt;"Ready","",IF($B$6+30&gt;=$B$8,"",ROUND(IF(ABS((MAX(0,F293-(B293*(1+$B$29)+C293))*100)-(INT(MAX(0,F293-(B293*(1+$B$29)+C293))*100)+0.5))&lt;=MIN(0.0000001,4*2.220446049250313E-16*MAX(1,ABS(F293),ABS(B293*(1+$B$29)+C293))*100),(INT(MAX(0,F293-(B293*(1+$B$29)+C293))*100)+0.5),MAX(0,F293-(B293*(1+$B$29)+C293))*100),0)/100))</f>
      </c>
      <c r="I293" s="0">
        <f>IF($B$22&lt;&gt;"Ready","",IF($B$6+30&gt;=$B$8,"",IF(I292&lt;&gt;"",I292,IF(H293&gt;0,A293+1,""))))</f>
      </c>
    </row>
    <row r="294" ht="15" customHeight="1">
      <c r="A294" s="0">
        <f>IF($B$22&lt;&gt;"Ready","",IF($B$6+31&gt;=$B$8,"",$B$6+31))</f>
      </c>
      <c r="B294" s="3">
        <f>IF($B$22&lt;&gt;"Ready","",IF($B$6+31&gt;=$B$8,"",G293))</f>
      </c>
      <c r="C294" s="3">
        <f>IF($B$22&lt;&gt;"Ready","",IF($B$6+31&gt;=$B$8,"",IF(A294&lt;$B$7,12*($B$10+$B$11),0)))</f>
      </c>
      <c r="D294" s="3">
        <f>IF($B$22&lt;&gt;"Ready","",IF($B$6+31&gt;=$B$8,"",IF(A294&lt;$B$7,0,12*(IF($B$13&gt;0,IF(A294&gt;=$B$14,$B$13,0),0)+IF($B$15&gt;0,IF(A294&gt;=$B$16,$B$15,0),0)))))</f>
      </c>
      <c r="E294" s="3">
        <f>IF($B$22&lt;&gt;"Ready","",IF($B$6+31&gt;=$B$8,"",IF(A294&lt;$B$7,0,12*$B$12)))</f>
      </c>
      <c r="F294" s="3">
        <f>IF($B$22&lt;&gt;"Ready","",IF($B$6+31&gt;=$B$8,"",MAX(0,E294-D294)))</f>
      </c>
      <c r="G294" s="3">
        <f>IF($B$22&lt;&gt;"Ready","",IF($B$6+31&gt;=$B$8,"",MAX(0,B294*(1+$B$29)+C294-F294)))</f>
      </c>
      <c r="H294" s="3">
        <f>IF($B$22&lt;&gt;"Ready","",IF($B$6+31&gt;=$B$8,"",ROUND(IF(ABS((MAX(0,F294-(B294*(1+$B$29)+C294))*100)-(INT(MAX(0,F294-(B294*(1+$B$29)+C294))*100)+0.5))&lt;=MIN(0.0000001,4*2.220446049250313E-16*MAX(1,ABS(F294),ABS(B294*(1+$B$29)+C294))*100),(INT(MAX(0,F294-(B294*(1+$B$29)+C294))*100)+0.5),MAX(0,F294-(B294*(1+$B$29)+C294))*100),0)/100))</f>
      </c>
      <c r="I294" s="0">
        <f>IF($B$22&lt;&gt;"Ready","",IF($B$6+31&gt;=$B$8,"",IF(I293&lt;&gt;"",I293,IF(H294&gt;0,A294+1,""))))</f>
      </c>
    </row>
    <row r="295" ht="15" customHeight="1">
      <c r="A295" s="0">
        <f>IF($B$22&lt;&gt;"Ready","",IF($B$6+32&gt;=$B$8,"",$B$6+32))</f>
      </c>
      <c r="B295" s="3">
        <f>IF($B$22&lt;&gt;"Ready","",IF($B$6+32&gt;=$B$8,"",G294))</f>
      </c>
      <c r="C295" s="3">
        <f>IF($B$22&lt;&gt;"Ready","",IF($B$6+32&gt;=$B$8,"",IF(A295&lt;$B$7,12*($B$10+$B$11),0)))</f>
      </c>
      <c r="D295" s="3">
        <f>IF($B$22&lt;&gt;"Ready","",IF($B$6+32&gt;=$B$8,"",IF(A295&lt;$B$7,0,12*(IF($B$13&gt;0,IF(A295&gt;=$B$14,$B$13,0),0)+IF($B$15&gt;0,IF(A295&gt;=$B$16,$B$15,0),0)))))</f>
      </c>
      <c r="E295" s="3">
        <f>IF($B$22&lt;&gt;"Ready","",IF($B$6+32&gt;=$B$8,"",IF(A295&lt;$B$7,0,12*$B$12)))</f>
      </c>
      <c r="F295" s="3">
        <f>IF($B$22&lt;&gt;"Ready","",IF($B$6+32&gt;=$B$8,"",MAX(0,E295-D295)))</f>
      </c>
      <c r="G295" s="3">
        <f>IF($B$22&lt;&gt;"Ready","",IF($B$6+32&gt;=$B$8,"",MAX(0,B295*(1+$B$29)+C295-F295)))</f>
      </c>
      <c r="H295" s="3">
        <f>IF($B$22&lt;&gt;"Ready","",IF($B$6+32&gt;=$B$8,"",ROUND(IF(ABS((MAX(0,F295-(B295*(1+$B$29)+C295))*100)-(INT(MAX(0,F295-(B295*(1+$B$29)+C295))*100)+0.5))&lt;=MIN(0.0000001,4*2.220446049250313E-16*MAX(1,ABS(F295),ABS(B295*(1+$B$29)+C295))*100),(INT(MAX(0,F295-(B295*(1+$B$29)+C295))*100)+0.5),MAX(0,F295-(B295*(1+$B$29)+C295))*100),0)/100))</f>
      </c>
      <c r="I295" s="0">
        <f>IF($B$22&lt;&gt;"Ready","",IF($B$6+32&gt;=$B$8,"",IF(I294&lt;&gt;"",I294,IF(H295&gt;0,A295+1,""))))</f>
      </c>
    </row>
    <row r="296" ht="15" customHeight="1">
      <c r="A296" s="0">
        <f>IF($B$22&lt;&gt;"Ready","",IF($B$6+33&gt;=$B$8,"",$B$6+33))</f>
      </c>
      <c r="B296" s="3">
        <f>IF($B$22&lt;&gt;"Ready","",IF($B$6+33&gt;=$B$8,"",G295))</f>
      </c>
      <c r="C296" s="3">
        <f>IF($B$22&lt;&gt;"Ready","",IF($B$6+33&gt;=$B$8,"",IF(A296&lt;$B$7,12*($B$10+$B$11),0)))</f>
      </c>
      <c r="D296" s="3">
        <f>IF($B$22&lt;&gt;"Ready","",IF($B$6+33&gt;=$B$8,"",IF(A296&lt;$B$7,0,12*(IF($B$13&gt;0,IF(A296&gt;=$B$14,$B$13,0),0)+IF($B$15&gt;0,IF(A296&gt;=$B$16,$B$15,0),0)))))</f>
      </c>
      <c r="E296" s="3">
        <f>IF($B$22&lt;&gt;"Ready","",IF($B$6+33&gt;=$B$8,"",IF(A296&lt;$B$7,0,12*$B$12)))</f>
      </c>
      <c r="F296" s="3">
        <f>IF($B$22&lt;&gt;"Ready","",IF($B$6+33&gt;=$B$8,"",MAX(0,E296-D296)))</f>
      </c>
      <c r="G296" s="3">
        <f>IF($B$22&lt;&gt;"Ready","",IF($B$6+33&gt;=$B$8,"",MAX(0,B296*(1+$B$29)+C296-F296)))</f>
      </c>
      <c r="H296" s="3">
        <f>IF($B$22&lt;&gt;"Ready","",IF($B$6+33&gt;=$B$8,"",ROUND(IF(ABS((MAX(0,F296-(B296*(1+$B$29)+C296))*100)-(INT(MAX(0,F296-(B296*(1+$B$29)+C296))*100)+0.5))&lt;=MIN(0.0000001,4*2.220446049250313E-16*MAX(1,ABS(F296),ABS(B296*(1+$B$29)+C296))*100),(INT(MAX(0,F296-(B296*(1+$B$29)+C296))*100)+0.5),MAX(0,F296-(B296*(1+$B$29)+C296))*100),0)/100))</f>
      </c>
      <c r="I296" s="0">
        <f>IF($B$22&lt;&gt;"Ready","",IF($B$6+33&gt;=$B$8,"",IF(I295&lt;&gt;"",I295,IF(H296&gt;0,A296+1,""))))</f>
      </c>
    </row>
    <row r="297" ht="15" customHeight="1">
      <c r="A297" s="0">
        <f>IF($B$22&lt;&gt;"Ready","",IF($B$6+34&gt;=$B$8,"",$B$6+34))</f>
      </c>
      <c r="B297" s="3">
        <f>IF($B$22&lt;&gt;"Ready","",IF($B$6+34&gt;=$B$8,"",G296))</f>
      </c>
      <c r="C297" s="3">
        <f>IF($B$22&lt;&gt;"Ready","",IF($B$6+34&gt;=$B$8,"",IF(A297&lt;$B$7,12*($B$10+$B$11),0)))</f>
      </c>
      <c r="D297" s="3">
        <f>IF($B$22&lt;&gt;"Ready","",IF($B$6+34&gt;=$B$8,"",IF(A297&lt;$B$7,0,12*(IF($B$13&gt;0,IF(A297&gt;=$B$14,$B$13,0),0)+IF($B$15&gt;0,IF(A297&gt;=$B$16,$B$15,0),0)))))</f>
      </c>
      <c r="E297" s="3">
        <f>IF($B$22&lt;&gt;"Ready","",IF($B$6+34&gt;=$B$8,"",IF(A297&lt;$B$7,0,12*$B$12)))</f>
      </c>
      <c r="F297" s="3">
        <f>IF($B$22&lt;&gt;"Ready","",IF($B$6+34&gt;=$B$8,"",MAX(0,E297-D297)))</f>
      </c>
      <c r="G297" s="3">
        <f>IF($B$22&lt;&gt;"Ready","",IF($B$6+34&gt;=$B$8,"",MAX(0,B297*(1+$B$29)+C297-F297)))</f>
      </c>
      <c r="H297" s="3">
        <f>IF($B$22&lt;&gt;"Ready","",IF($B$6+34&gt;=$B$8,"",ROUND(IF(ABS((MAX(0,F297-(B297*(1+$B$29)+C297))*100)-(INT(MAX(0,F297-(B297*(1+$B$29)+C297))*100)+0.5))&lt;=MIN(0.0000001,4*2.220446049250313E-16*MAX(1,ABS(F297),ABS(B297*(1+$B$29)+C297))*100),(INT(MAX(0,F297-(B297*(1+$B$29)+C297))*100)+0.5),MAX(0,F297-(B297*(1+$B$29)+C297))*100),0)/100))</f>
      </c>
      <c r="I297" s="0">
        <f>IF($B$22&lt;&gt;"Ready","",IF($B$6+34&gt;=$B$8,"",IF(I296&lt;&gt;"",I296,IF(H297&gt;0,A297+1,""))))</f>
      </c>
    </row>
    <row r="298" ht="15" customHeight="1">
      <c r="A298" s="0">
        <f>IF($B$22&lt;&gt;"Ready","",IF($B$6+35&gt;=$B$8,"",$B$6+35))</f>
      </c>
      <c r="B298" s="3">
        <f>IF($B$22&lt;&gt;"Ready","",IF($B$6+35&gt;=$B$8,"",G297))</f>
      </c>
      <c r="C298" s="3">
        <f>IF($B$22&lt;&gt;"Ready","",IF($B$6+35&gt;=$B$8,"",IF(A298&lt;$B$7,12*($B$10+$B$11),0)))</f>
      </c>
      <c r="D298" s="3">
        <f>IF($B$22&lt;&gt;"Ready","",IF($B$6+35&gt;=$B$8,"",IF(A298&lt;$B$7,0,12*(IF($B$13&gt;0,IF(A298&gt;=$B$14,$B$13,0),0)+IF($B$15&gt;0,IF(A298&gt;=$B$16,$B$15,0),0)))))</f>
      </c>
      <c r="E298" s="3">
        <f>IF($B$22&lt;&gt;"Ready","",IF($B$6+35&gt;=$B$8,"",IF(A298&lt;$B$7,0,12*$B$12)))</f>
      </c>
      <c r="F298" s="3">
        <f>IF($B$22&lt;&gt;"Ready","",IF($B$6+35&gt;=$B$8,"",MAX(0,E298-D298)))</f>
      </c>
      <c r="G298" s="3">
        <f>IF($B$22&lt;&gt;"Ready","",IF($B$6+35&gt;=$B$8,"",MAX(0,B298*(1+$B$29)+C298-F298)))</f>
      </c>
      <c r="H298" s="3">
        <f>IF($B$22&lt;&gt;"Ready","",IF($B$6+35&gt;=$B$8,"",ROUND(IF(ABS((MAX(0,F298-(B298*(1+$B$29)+C298))*100)-(INT(MAX(0,F298-(B298*(1+$B$29)+C298))*100)+0.5))&lt;=MIN(0.0000001,4*2.220446049250313E-16*MAX(1,ABS(F298),ABS(B298*(1+$B$29)+C298))*100),(INT(MAX(0,F298-(B298*(1+$B$29)+C298))*100)+0.5),MAX(0,F298-(B298*(1+$B$29)+C298))*100),0)/100))</f>
      </c>
      <c r="I298" s="0">
        <f>IF($B$22&lt;&gt;"Ready","",IF($B$6+35&gt;=$B$8,"",IF(I297&lt;&gt;"",I297,IF(H298&gt;0,A298+1,""))))</f>
      </c>
    </row>
    <row r="299" ht="15" customHeight="1">
      <c r="A299" s="0">
        <f>IF($B$22&lt;&gt;"Ready","",IF($B$6+36&gt;=$B$8,"",$B$6+36))</f>
      </c>
      <c r="B299" s="3">
        <f>IF($B$22&lt;&gt;"Ready","",IF($B$6+36&gt;=$B$8,"",G298))</f>
      </c>
      <c r="C299" s="3">
        <f>IF($B$22&lt;&gt;"Ready","",IF($B$6+36&gt;=$B$8,"",IF(A299&lt;$B$7,12*($B$10+$B$11),0)))</f>
      </c>
      <c r="D299" s="3">
        <f>IF($B$22&lt;&gt;"Ready","",IF($B$6+36&gt;=$B$8,"",IF(A299&lt;$B$7,0,12*(IF($B$13&gt;0,IF(A299&gt;=$B$14,$B$13,0),0)+IF($B$15&gt;0,IF(A299&gt;=$B$16,$B$15,0),0)))))</f>
      </c>
      <c r="E299" s="3">
        <f>IF($B$22&lt;&gt;"Ready","",IF($B$6+36&gt;=$B$8,"",IF(A299&lt;$B$7,0,12*$B$12)))</f>
      </c>
      <c r="F299" s="3">
        <f>IF($B$22&lt;&gt;"Ready","",IF($B$6+36&gt;=$B$8,"",MAX(0,E299-D299)))</f>
      </c>
      <c r="G299" s="3">
        <f>IF($B$22&lt;&gt;"Ready","",IF($B$6+36&gt;=$B$8,"",MAX(0,B299*(1+$B$29)+C299-F299)))</f>
      </c>
      <c r="H299" s="3">
        <f>IF($B$22&lt;&gt;"Ready","",IF($B$6+36&gt;=$B$8,"",ROUND(IF(ABS((MAX(0,F299-(B299*(1+$B$29)+C299))*100)-(INT(MAX(0,F299-(B299*(1+$B$29)+C299))*100)+0.5))&lt;=MIN(0.0000001,4*2.220446049250313E-16*MAX(1,ABS(F299),ABS(B299*(1+$B$29)+C299))*100),(INT(MAX(0,F299-(B299*(1+$B$29)+C299))*100)+0.5),MAX(0,F299-(B299*(1+$B$29)+C299))*100),0)/100))</f>
      </c>
      <c r="I299" s="0">
        <f>IF($B$22&lt;&gt;"Ready","",IF($B$6+36&gt;=$B$8,"",IF(I298&lt;&gt;"",I298,IF(H299&gt;0,A299+1,""))))</f>
      </c>
    </row>
    <row r="300" ht="15" customHeight="1">
      <c r="A300" s="0">
        <f>IF($B$22&lt;&gt;"Ready","",IF($B$6+37&gt;=$B$8,"",$B$6+37))</f>
      </c>
      <c r="B300" s="3">
        <f>IF($B$22&lt;&gt;"Ready","",IF($B$6+37&gt;=$B$8,"",G299))</f>
      </c>
      <c r="C300" s="3">
        <f>IF($B$22&lt;&gt;"Ready","",IF($B$6+37&gt;=$B$8,"",IF(A300&lt;$B$7,12*($B$10+$B$11),0)))</f>
      </c>
      <c r="D300" s="3">
        <f>IF($B$22&lt;&gt;"Ready","",IF($B$6+37&gt;=$B$8,"",IF(A300&lt;$B$7,0,12*(IF($B$13&gt;0,IF(A300&gt;=$B$14,$B$13,0),0)+IF($B$15&gt;0,IF(A300&gt;=$B$16,$B$15,0),0)))))</f>
      </c>
      <c r="E300" s="3">
        <f>IF($B$22&lt;&gt;"Ready","",IF($B$6+37&gt;=$B$8,"",IF(A300&lt;$B$7,0,12*$B$12)))</f>
      </c>
      <c r="F300" s="3">
        <f>IF($B$22&lt;&gt;"Ready","",IF($B$6+37&gt;=$B$8,"",MAX(0,E300-D300)))</f>
      </c>
      <c r="G300" s="3">
        <f>IF($B$22&lt;&gt;"Ready","",IF($B$6+37&gt;=$B$8,"",MAX(0,B300*(1+$B$29)+C300-F300)))</f>
      </c>
      <c r="H300" s="3">
        <f>IF($B$22&lt;&gt;"Ready","",IF($B$6+37&gt;=$B$8,"",ROUND(IF(ABS((MAX(0,F300-(B300*(1+$B$29)+C300))*100)-(INT(MAX(0,F300-(B300*(1+$B$29)+C300))*100)+0.5))&lt;=MIN(0.0000001,4*2.220446049250313E-16*MAX(1,ABS(F300),ABS(B300*(1+$B$29)+C300))*100),(INT(MAX(0,F300-(B300*(1+$B$29)+C300))*100)+0.5),MAX(0,F300-(B300*(1+$B$29)+C300))*100),0)/100))</f>
      </c>
      <c r="I300" s="0">
        <f>IF($B$22&lt;&gt;"Ready","",IF($B$6+37&gt;=$B$8,"",IF(I299&lt;&gt;"",I299,IF(H300&gt;0,A300+1,""))))</f>
      </c>
    </row>
    <row r="301" ht="15" customHeight="1">
      <c r="A301" s="0">
        <f>IF($B$22&lt;&gt;"Ready","",IF($B$6+38&gt;=$B$8,"",$B$6+38))</f>
      </c>
      <c r="B301" s="3">
        <f>IF($B$22&lt;&gt;"Ready","",IF($B$6+38&gt;=$B$8,"",G300))</f>
      </c>
      <c r="C301" s="3">
        <f>IF($B$22&lt;&gt;"Ready","",IF($B$6+38&gt;=$B$8,"",IF(A301&lt;$B$7,12*($B$10+$B$11),0)))</f>
      </c>
      <c r="D301" s="3">
        <f>IF($B$22&lt;&gt;"Ready","",IF($B$6+38&gt;=$B$8,"",IF(A301&lt;$B$7,0,12*(IF($B$13&gt;0,IF(A301&gt;=$B$14,$B$13,0),0)+IF($B$15&gt;0,IF(A301&gt;=$B$16,$B$15,0),0)))))</f>
      </c>
      <c r="E301" s="3">
        <f>IF($B$22&lt;&gt;"Ready","",IF($B$6+38&gt;=$B$8,"",IF(A301&lt;$B$7,0,12*$B$12)))</f>
      </c>
      <c r="F301" s="3">
        <f>IF($B$22&lt;&gt;"Ready","",IF($B$6+38&gt;=$B$8,"",MAX(0,E301-D301)))</f>
      </c>
      <c r="G301" s="3">
        <f>IF($B$22&lt;&gt;"Ready","",IF($B$6+38&gt;=$B$8,"",MAX(0,B301*(1+$B$29)+C301-F301)))</f>
      </c>
      <c r="H301" s="3">
        <f>IF($B$22&lt;&gt;"Ready","",IF($B$6+38&gt;=$B$8,"",ROUND(IF(ABS((MAX(0,F301-(B301*(1+$B$29)+C301))*100)-(INT(MAX(0,F301-(B301*(1+$B$29)+C301))*100)+0.5))&lt;=MIN(0.0000001,4*2.220446049250313E-16*MAX(1,ABS(F301),ABS(B301*(1+$B$29)+C301))*100),(INT(MAX(0,F301-(B301*(1+$B$29)+C301))*100)+0.5),MAX(0,F301-(B301*(1+$B$29)+C301))*100),0)/100))</f>
      </c>
      <c r="I301" s="0">
        <f>IF($B$22&lt;&gt;"Ready","",IF($B$6+38&gt;=$B$8,"",IF(I300&lt;&gt;"",I300,IF(H301&gt;0,A301+1,""))))</f>
      </c>
    </row>
    <row r="302" ht="15" customHeight="1">
      <c r="A302" s="0">
        <f>IF($B$22&lt;&gt;"Ready","",IF($B$6+39&gt;=$B$8,"",$B$6+39))</f>
      </c>
      <c r="B302" s="3">
        <f>IF($B$22&lt;&gt;"Ready","",IF($B$6+39&gt;=$B$8,"",G301))</f>
      </c>
      <c r="C302" s="3">
        <f>IF($B$22&lt;&gt;"Ready","",IF($B$6+39&gt;=$B$8,"",IF(A302&lt;$B$7,12*($B$10+$B$11),0)))</f>
      </c>
      <c r="D302" s="3">
        <f>IF($B$22&lt;&gt;"Ready","",IF($B$6+39&gt;=$B$8,"",IF(A302&lt;$B$7,0,12*(IF($B$13&gt;0,IF(A302&gt;=$B$14,$B$13,0),0)+IF($B$15&gt;0,IF(A302&gt;=$B$16,$B$15,0),0)))))</f>
      </c>
      <c r="E302" s="3">
        <f>IF($B$22&lt;&gt;"Ready","",IF($B$6+39&gt;=$B$8,"",IF(A302&lt;$B$7,0,12*$B$12)))</f>
      </c>
      <c r="F302" s="3">
        <f>IF($B$22&lt;&gt;"Ready","",IF($B$6+39&gt;=$B$8,"",MAX(0,E302-D302)))</f>
      </c>
      <c r="G302" s="3">
        <f>IF($B$22&lt;&gt;"Ready","",IF($B$6+39&gt;=$B$8,"",MAX(0,B302*(1+$B$29)+C302-F302)))</f>
      </c>
      <c r="H302" s="3">
        <f>IF($B$22&lt;&gt;"Ready","",IF($B$6+39&gt;=$B$8,"",ROUND(IF(ABS((MAX(0,F302-(B302*(1+$B$29)+C302))*100)-(INT(MAX(0,F302-(B302*(1+$B$29)+C302))*100)+0.5))&lt;=MIN(0.0000001,4*2.220446049250313E-16*MAX(1,ABS(F302),ABS(B302*(1+$B$29)+C302))*100),(INT(MAX(0,F302-(B302*(1+$B$29)+C302))*100)+0.5),MAX(0,F302-(B302*(1+$B$29)+C302))*100),0)/100))</f>
      </c>
      <c r="I302" s="0">
        <f>IF($B$22&lt;&gt;"Ready","",IF($B$6+39&gt;=$B$8,"",IF(I301&lt;&gt;"",I301,IF(H302&gt;0,A302+1,""))))</f>
      </c>
    </row>
    <row r="303" ht="15" customHeight="1">
      <c r="A303" s="0">
        <f>IF($B$22&lt;&gt;"Ready","",IF($B$6+40&gt;=$B$8,"",$B$6+40))</f>
      </c>
      <c r="B303" s="3">
        <f>IF($B$22&lt;&gt;"Ready","",IF($B$6+40&gt;=$B$8,"",G302))</f>
      </c>
      <c r="C303" s="3">
        <f>IF($B$22&lt;&gt;"Ready","",IF($B$6+40&gt;=$B$8,"",IF(A303&lt;$B$7,12*($B$10+$B$11),0)))</f>
      </c>
      <c r="D303" s="3">
        <f>IF($B$22&lt;&gt;"Ready","",IF($B$6+40&gt;=$B$8,"",IF(A303&lt;$B$7,0,12*(IF($B$13&gt;0,IF(A303&gt;=$B$14,$B$13,0),0)+IF($B$15&gt;0,IF(A303&gt;=$B$16,$B$15,0),0)))))</f>
      </c>
      <c r="E303" s="3">
        <f>IF($B$22&lt;&gt;"Ready","",IF($B$6+40&gt;=$B$8,"",IF(A303&lt;$B$7,0,12*$B$12)))</f>
      </c>
      <c r="F303" s="3">
        <f>IF($B$22&lt;&gt;"Ready","",IF($B$6+40&gt;=$B$8,"",MAX(0,E303-D303)))</f>
      </c>
      <c r="G303" s="3">
        <f>IF($B$22&lt;&gt;"Ready","",IF($B$6+40&gt;=$B$8,"",MAX(0,B303*(1+$B$29)+C303-F303)))</f>
      </c>
      <c r="H303" s="3">
        <f>IF($B$22&lt;&gt;"Ready","",IF($B$6+40&gt;=$B$8,"",ROUND(IF(ABS((MAX(0,F303-(B303*(1+$B$29)+C303))*100)-(INT(MAX(0,F303-(B303*(1+$B$29)+C303))*100)+0.5))&lt;=MIN(0.0000001,4*2.220446049250313E-16*MAX(1,ABS(F303),ABS(B303*(1+$B$29)+C303))*100),(INT(MAX(0,F303-(B303*(1+$B$29)+C303))*100)+0.5),MAX(0,F303-(B303*(1+$B$29)+C303))*100),0)/100))</f>
      </c>
      <c r="I303" s="0">
        <f>IF($B$22&lt;&gt;"Ready","",IF($B$6+40&gt;=$B$8,"",IF(I302&lt;&gt;"",I302,IF(H303&gt;0,A303+1,""))))</f>
      </c>
    </row>
    <row r="304" ht="15" customHeight="1">
      <c r="A304" s="0">
        <f>IF($B$22&lt;&gt;"Ready","",IF($B$6+41&gt;=$B$8,"",$B$6+41))</f>
      </c>
      <c r="B304" s="3">
        <f>IF($B$22&lt;&gt;"Ready","",IF($B$6+41&gt;=$B$8,"",G303))</f>
      </c>
      <c r="C304" s="3">
        <f>IF($B$22&lt;&gt;"Ready","",IF($B$6+41&gt;=$B$8,"",IF(A304&lt;$B$7,12*($B$10+$B$11),0)))</f>
      </c>
      <c r="D304" s="3">
        <f>IF($B$22&lt;&gt;"Ready","",IF($B$6+41&gt;=$B$8,"",IF(A304&lt;$B$7,0,12*(IF($B$13&gt;0,IF(A304&gt;=$B$14,$B$13,0),0)+IF($B$15&gt;0,IF(A304&gt;=$B$16,$B$15,0),0)))))</f>
      </c>
      <c r="E304" s="3">
        <f>IF($B$22&lt;&gt;"Ready","",IF($B$6+41&gt;=$B$8,"",IF(A304&lt;$B$7,0,12*$B$12)))</f>
      </c>
      <c r="F304" s="3">
        <f>IF($B$22&lt;&gt;"Ready","",IF($B$6+41&gt;=$B$8,"",MAX(0,E304-D304)))</f>
      </c>
      <c r="G304" s="3">
        <f>IF($B$22&lt;&gt;"Ready","",IF($B$6+41&gt;=$B$8,"",MAX(0,B304*(1+$B$29)+C304-F304)))</f>
      </c>
      <c r="H304" s="3">
        <f>IF($B$22&lt;&gt;"Ready","",IF($B$6+41&gt;=$B$8,"",ROUND(IF(ABS((MAX(0,F304-(B304*(1+$B$29)+C304))*100)-(INT(MAX(0,F304-(B304*(1+$B$29)+C304))*100)+0.5))&lt;=MIN(0.0000001,4*2.220446049250313E-16*MAX(1,ABS(F304),ABS(B304*(1+$B$29)+C304))*100),(INT(MAX(0,F304-(B304*(1+$B$29)+C304))*100)+0.5),MAX(0,F304-(B304*(1+$B$29)+C304))*100),0)/100))</f>
      </c>
      <c r="I304" s="0">
        <f>IF($B$22&lt;&gt;"Ready","",IF($B$6+41&gt;=$B$8,"",IF(I303&lt;&gt;"",I303,IF(H304&gt;0,A304+1,""))))</f>
      </c>
    </row>
    <row r="305" ht="15" customHeight="1">
      <c r="A305" s="0">
        <f>IF($B$22&lt;&gt;"Ready","",IF($B$6+42&gt;=$B$8,"",$B$6+42))</f>
      </c>
      <c r="B305" s="3">
        <f>IF($B$22&lt;&gt;"Ready","",IF($B$6+42&gt;=$B$8,"",G304))</f>
      </c>
      <c r="C305" s="3">
        <f>IF($B$22&lt;&gt;"Ready","",IF($B$6+42&gt;=$B$8,"",IF(A305&lt;$B$7,12*($B$10+$B$11),0)))</f>
      </c>
      <c r="D305" s="3">
        <f>IF($B$22&lt;&gt;"Ready","",IF($B$6+42&gt;=$B$8,"",IF(A305&lt;$B$7,0,12*(IF($B$13&gt;0,IF(A305&gt;=$B$14,$B$13,0),0)+IF($B$15&gt;0,IF(A305&gt;=$B$16,$B$15,0),0)))))</f>
      </c>
      <c r="E305" s="3">
        <f>IF($B$22&lt;&gt;"Ready","",IF($B$6+42&gt;=$B$8,"",IF(A305&lt;$B$7,0,12*$B$12)))</f>
      </c>
      <c r="F305" s="3">
        <f>IF($B$22&lt;&gt;"Ready","",IF($B$6+42&gt;=$B$8,"",MAX(0,E305-D305)))</f>
      </c>
      <c r="G305" s="3">
        <f>IF($B$22&lt;&gt;"Ready","",IF($B$6+42&gt;=$B$8,"",MAX(0,B305*(1+$B$29)+C305-F305)))</f>
      </c>
      <c r="H305" s="3">
        <f>IF($B$22&lt;&gt;"Ready","",IF($B$6+42&gt;=$B$8,"",ROUND(IF(ABS((MAX(0,F305-(B305*(1+$B$29)+C305))*100)-(INT(MAX(0,F305-(B305*(1+$B$29)+C305))*100)+0.5))&lt;=MIN(0.0000001,4*2.220446049250313E-16*MAX(1,ABS(F305),ABS(B305*(1+$B$29)+C305))*100),(INT(MAX(0,F305-(B305*(1+$B$29)+C305))*100)+0.5),MAX(0,F305-(B305*(1+$B$29)+C305))*100),0)/100))</f>
      </c>
      <c r="I305" s="0">
        <f>IF($B$22&lt;&gt;"Ready","",IF($B$6+42&gt;=$B$8,"",IF(I304&lt;&gt;"",I304,IF(H305&gt;0,A305+1,""))))</f>
      </c>
    </row>
    <row r="306" ht="15" customHeight="1">
      <c r="A306" s="0">
        <f>IF($B$22&lt;&gt;"Ready","",IF($B$6+43&gt;=$B$8,"",$B$6+43))</f>
      </c>
      <c r="B306" s="3">
        <f>IF($B$22&lt;&gt;"Ready","",IF($B$6+43&gt;=$B$8,"",G305))</f>
      </c>
      <c r="C306" s="3">
        <f>IF($B$22&lt;&gt;"Ready","",IF($B$6+43&gt;=$B$8,"",IF(A306&lt;$B$7,12*($B$10+$B$11),0)))</f>
      </c>
      <c r="D306" s="3">
        <f>IF($B$22&lt;&gt;"Ready","",IF($B$6+43&gt;=$B$8,"",IF(A306&lt;$B$7,0,12*(IF($B$13&gt;0,IF(A306&gt;=$B$14,$B$13,0),0)+IF($B$15&gt;0,IF(A306&gt;=$B$16,$B$15,0),0)))))</f>
      </c>
      <c r="E306" s="3">
        <f>IF($B$22&lt;&gt;"Ready","",IF($B$6+43&gt;=$B$8,"",IF(A306&lt;$B$7,0,12*$B$12)))</f>
      </c>
      <c r="F306" s="3">
        <f>IF($B$22&lt;&gt;"Ready","",IF($B$6+43&gt;=$B$8,"",MAX(0,E306-D306)))</f>
      </c>
      <c r="G306" s="3">
        <f>IF($B$22&lt;&gt;"Ready","",IF($B$6+43&gt;=$B$8,"",MAX(0,B306*(1+$B$29)+C306-F306)))</f>
      </c>
      <c r="H306" s="3">
        <f>IF($B$22&lt;&gt;"Ready","",IF($B$6+43&gt;=$B$8,"",ROUND(IF(ABS((MAX(0,F306-(B306*(1+$B$29)+C306))*100)-(INT(MAX(0,F306-(B306*(1+$B$29)+C306))*100)+0.5))&lt;=MIN(0.0000001,4*2.220446049250313E-16*MAX(1,ABS(F306),ABS(B306*(1+$B$29)+C306))*100),(INT(MAX(0,F306-(B306*(1+$B$29)+C306))*100)+0.5),MAX(0,F306-(B306*(1+$B$29)+C306))*100),0)/100))</f>
      </c>
      <c r="I306" s="0">
        <f>IF($B$22&lt;&gt;"Ready","",IF($B$6+43&gt;=$B$8,"",IF(I305&lt;&gt;"",I305,IF(H306&gt;0,A306+1,""))))</f>
      </c>
    </row>
    <row r="307" ht="15" customHeight="1">
      <c r="A307" s="0">
        <f>IF($B$22&lt;&gt;"Ready","",IF($B$6+44&gt;=$B$8,"",$B$6+44))</f>
      </c>
      <c r="B307" s="3">
        <f>IF($B$22&lt;&gt;"Ready","",IF($B$6+44&gt;=$B$8,"",G306))</f>
      </c>
      <c r="C307" s="3">
        <f>IF($B$22&lt;&gt;"Ready","",IF($B$6+44&gt;=$B$8,"",IF(A307&lt;$B$7,12*($B$10+$B$11),0)))</f>
      </c>
      <c r="D307" s="3">
        <f>IF($B$22&lt;&gt;"Ready","",IF($B$6+44&gt;=$B$8,"",IF(A307&lt;$B$7,0,12*(IF($B$13&gt;0,IF(A307&gt;=$B$14,$B$13,0),0)+IF($B$15&gt;0,IF(A307&gt;=$B$16,$B$15,0),0)))))</f>
      </c>
      <c r="E307" s="3">
        <f>IF($B$22&lt;&gt;"Ready","",IF($B$6+44&gt;=$B$8,"",IF(A307&lt;$B$7,0,12*$B$12)))</f>
      </c>
      <c r="F307" s="3">
        <f>IF($B$22&lt;&gt;"Ready","",IF($B$6+44&gt;=$B$8,"",MAX(0,E307-D307)))</f>
      </c>
      <c r="G307" s="3">
        <f>IF($B$22&lt;&gt;"Ready","",IF($B$6+44&gt;=$B$8,"",MAX(0,B307*(1+$B$29)+C307-F307)))</f>
      </c>
      <c r="H307" s="3">
        <f>IF($B$22&lt;&gt;"Ready","",IF($B$6+44&gt;=$B$8,"",ROUND(IF(ABS((MAX(0,F307-(B307*(1+$B$29)+C307))*100)-(INT(MAX(0,F307-(B307*(1+$B$29)+C307))*100)+0.5))&lt;=MIN(0.0000001,4*2.220446049250313E-16*MAX(1,ABS(F307),ABS(B307*(1+$B$29)+C307))*100),(INT(MAX(0,F307-(B307*(1+$B$29)+C307))*100)+0.5),MAX(0,F307-(B307*(1+$B$29)+C307))*100),0)/100))</f>
      </c>
      <c r="I307" s="0">
        <f>IF($B$22&lt;&gt;"Ready","",IF($B$6+44&gt;=$B$8,"",IF(I306&lt;&gt;"",I306,IF(H307&gt;0,A307+1,""))))</f>
      </c>
    </row>
    <row r="308" ht="15" customHeight="1">
      <c r="A308" s="0">
        <f>IF($B$22&lt;&gt;"Ready","",IF($B$6+45&gt;=$B$8,"",$B$6+45))</f>
      </c>
      <c r="B308" s="3">
        <f>IF($B$22&lt;&gt;"Ready","",IF($B$6+45&gt;=$B$8,"",G307))</f>
      </c>
      <c r="C308" s="3">
        <f>IF($B$22&lt;&gt;"Ready","",IF($B$6+45&gt;=$B$8,"",IF(A308&lt;$B$7,12*($B$10+$B$11),0)))</f>
      </c>
      <c r="D308" s="3">
        <f>IF($B$22&lt;&gt;"Ready","",IF($B$6+45&gt;=$B$8,"",IF(A308&lt;$B$7,0,12*(IF($B$13&gt;0,IF(A308&gt;=$B$14,$B$13,0),0)+IF($B$15&gt;0,IF(A308&gt;=$B$16,$B$15,0),0)))))</f>
      </c>
      <c r="E308" s="3">
        <f>IF($B$22&lt;&gt;"Ready","",IF($B$6+45&gt;=$B$8,"",IF(A308&lt;$B$7,0,12*$B$12)))</f>
      </c>
      <c r="F308" s="3">
        <f>IF($B$22&lt;&gt;"Ready","",IF($B$6+45&gt;=$B$8,"",MAX(0,E308-D308)))</f>
      </c>
      <c r="G308" s="3">
        <f>IF($B$22&lt;&gt;"Ready","",IF($B$6+45&gt;=$B$8,"",MAX(0,B308*(1+$B$29)+C308-F308)))</f>
      </c>
      <c r="H308" s="3">
        <f>IF($B$22&lt;&gt;"Ready","",IF($B$6+45&gt;=$B$8,"",ROUND(IF(ABS((MAX(0,F308-(B308*(1+$B$29)+C308))*100)-(INT(MAX(0,F308-(B308*(1+$B$29)+C308))*100)+0.5))&lt;=MIN(0.0000001,4*2.220446049250313E-16*MAX(1,ABS(F308),ABS(B308*(1+$B$29)+C308))*100),(INT(MAX(0,F308-(B308*(1+$B$29)+C308))*100)+0.5),MAX(0,F308-(B308*(1+$B$29)+C308))*100),0)/100))</f>
      </c>
      <c r="I308" s="0">
        <f>IF($B$22&lt;&gt;"Ready","",IF($B$6+45&gt;=$B$8,"",IF(I307&lt;&gt;"",I307,IF(H308&gt;0,A308+1,""))))</f>
      </c>
    </row>
    <row r="309" ht="15" customHeight="1">
      <c r="A309" s="0">
        <f>IF($B$22&lt;&gt;"Ready","",IF($B$6+46&gt;=$B$8,"",$B$6+46))</f>
      </c>
      <c r="B309" s="3">
        <f>IF($B$22&lt;&gt;"Ready","",IF($B$6+46&gt;=$B$8,"",G308))</f>
      </c>
      <c r="C309" s="3">
        <f>IF($B$22&lt;&gt;"Ready","",IF($B$6+46&gt;=$B$8,"",IF(A309&lt;$B$7,12*($B$10+$B$11),0)))</f>
      </c>
      <c r="D309" s="3">
        <f>IF($B$22&lt;&gt;"Ready","",IF($B$6+46&gt;=$B$8,"",IF(A309&lt;$B$7,0,12*(IF($B$13&gt;0,IF(A309&gt;=$B$14,$B$13,0),0)+IF($B$15&gt;0,IF(A309&gt;=$B$16,$B$15,0),0)))))</f>
      </c>
      <c r="E309" s="3">
        <f>IF($B$22&lt;&gt;"Ready","",IF($B$6+46&gt;=$B$8,"",IF(A309&lt;$B$7,0,12*$B$12)))</f>
      </c>
      <c r="F309" s="3">
        <f>IF($B$22&lt;&gt;"Ready","",IF($B$6+46&gt;=$B$8,"",MAX(0,E309-D309)))</f>
      </c>
      <c r="G309" s="3">
        <f>IF($B$22&lt;&gt;"Ready","",IF($B$6+46&gt;=$B$8,"",MAX(0,B309*(1+$B$29)+C309-F309)))</f>
      </c>
      <c r="H309" s="3">
        <f>IF($B$22&lt;&gt;"Ready","",IF($B$6+46&gt;=$B$8,"",ROUND(IF(ABS((MAX(0,F309-(B309*(1+$B$29)+C309))*100)-(INT(MAX(0,F309-(B309*(1+$B$29)+C309))*100)+0.5))&lt;=MIN(0.0000001,4*2.220446049250313E-16*MAX(1,ABS(F309),ABS(B309*(1+$B$29)+C309))*100),(INT(MAX(0,F309-(B309*(1+$B$29)+C309))*100)+0.5),MAX(0,F309-(B309*(1+$B$29)+C309))*100),0)/100))</f>
      </c>
      <c r="I309" s="0">
        <f>IF($B$22&lt;&gt;"Ready","",IF($B$6+46&gt;=$B$8,"",IF(I308&lt;&gt;"",I308,IF(H309&gt;0,A309+1,""))))</f>
      </c>
    </row>
    <row r="310" ht="15" customHeight="1">
      <c r="A310" s="0">
        <f>IF($B$22&lt;&gt;"Ready","",IF($B$6+47&gt;=$B$8,"",$B$6+47))</f>
      </c>
      <c r="B310" s="3">
        <f>IF($B$22&lt;&gt;"Ready","",IF($B$6+47&gt;=$B$8,"",G309))</f>
      </c>
      <c r="C310" s="3">
        <f>IF($B$22&lt;&gt;"Ready","",IF($B$6+47&gt;=$B$8,"",IF(A310&lt;$B$7,12*($B$10+$B$11),0)))</f>
      </c>
      <c r="D310" s="3">
        <f>IF($B$22&lt;&gt;"Ready","",IF($B$6+47&gt;=$B$8,"",IF(A310&lt;$B$7,0,12*(IF($B$13&gt;0,IF(A310&gt;=$B$14,$B$13,0),0)+IF($B$15&gt;0,IF(A310&gt;=$B$16,$B$15,0),0)))))</f>
      </c>
      <c r="E310" s="3">
        <f>IF($B$22&lt;&gt;"Ready","",IF($B$6+47&gt;=$B$8,"",IF(A310&lt;$B$7,0,12*$B$12)))</f>
      </c>
      <c r="F310" s="3">
        <f>IF($B$22&lt;&gt;"Ready","",IF($B$6+47&gt;=$B$8,"",MAX(0,E310-D310)))</f>
      </c>
      <c r="G310" s="3">
        <f>IF($B$22&lt;&gt;"Ready","",IF($B$6+47&gt;=$B$8,"",MAX(0,B310*(1+$B$29)+C310-F310)))</f>
      </c>
      <c r="H310" s="3">
        <f>IF($B$22&lt;&gt;"Ready","",IF($B$6+47&gt;=$B$8,"",ROUND(IF(ABS((MAX(0,F310-(B310*(1+$B$29)+C310))*100)-(INT(MAX(0,F310-(B310*(1+$B$29)+C310))*100)+0.5))&lt;=MIN(0.0000001,4*2.220446049250313E-16*MAX(1,ABS(F310),ABS(B310*(1+$B$29)+C310))*100),(INT(MAX(0,F310-(B310*(1+$B$29)+C310))*100)+0.5),MAX(0,F310-(B310*(1+$B$29)+C310))*100),0)/100))</f>
      </c>
      <c r="I310" s="0">
        <f>IF($B$22&lt;&gt;"Ready","",IF($B$6+47&gt;=$B$8,"",IF(I309&lt;&gt;"",I309,IF(H310&gt;0,A310+1,""))))</f>
      </c>
    </row>
    <row r="311" ht="15" customHeight="1">
      <c r="A311" s="0">
        <f>IF($B$22&lt;&gt;"Ready","",IF($B$6+48&gt;=$B$8,"",$B$6+48))</f>
      </c>
      <c r="B311" s="3">
        <f>IF($B$22&lt;&gt;"Ready","",IF($B$6+48&gt;=$B$8,"",G310))</f>
      </c>
      <c r="C311" s="3">
        <f>IF($B$22&lt;&gt;"Ready","",IF($B$6+48&gt;=$B$8,"",IF(A311&lt;$B$7,12*($B$10+$B$11),0)))</f>
      </c>
      <c r="D311" s="3">
        <f>IF($B$22&lt;&gt;"Ready","",IF($B$6+48&gt;=$B$8,"",IF(A311&lt;$B$7,0,12*(IF($B$13&gt;0,IF(A311&gt;=$B$14,$B$13,0),0)+IF($B$15&gt;0,IF(A311&gt;=$B$16,$B$15,0),0)))))</f>
      </c>
      <c r="E311" s="3">
        <f>IF($B$22&lt;&gt;"Ready","",IF($B$6+48&gt;=$B$8,"",IF(A311&lt;$B$7,0,12*$B$12)))</f>
      </c>
      <c r="F311" s="3">
        <f>IF($B$22&lt;&gt;"Ready","",IF($B$6+48&gt;=$B$8,"",MAX(0,E311-D311)))</f>
      </c>
      <c r="G311" s="3">
        <f>IF($B$22&lt;&gt;"Ready","",IF($B$6+48&gt;=$B$8,"",MAX(0,B311*(1+$B$29)+C311-F311)))</f>
      </c>
      <c r="H311" s="3">
        <f>IF($B$22&lt;&gt;"Ready","",IF($B$6+48&gt;=$B$8,"",ROUND(IF(ABS((MAX(0,F311-(B311*(1+$B$29)+C311))*100)-(INT(MAX(0,F311-(B311*(1+$B$29)+C311))*100)+0.5))&lt;=MIN(0.0000001,4*2.220446049250313E-16*MAX(1,ABS(F311),ABS(B311*(1+$B$29)+C311))*100),(INT(MAX(0,F311-(B311*(1+$B$29)+C311))*100)+0.5),MAX(0,F311-(B311*(1+$B$29)+C311))*100),0)/100))</f>
      </c>
      <c r="I311" s="0">
        <f>IF($B$22&lt;&gt;"Ready","",IF($B$6+48&gt;=$B$8,"",IF(I310&lt;&gt;"",I310,IF(H311&gt;0,A311+1,""))))</f>
      </c>
    </row>
    <row r="312" ht="15" customHeight="1">
      <c r="A312" s="0">
        <f>IF($B$22&lt;&gt;"Ready","",IF($B$6+49&gt;=$B$8,"",$B$6+49))</f>
      </c>
      <c r="B312" s="3">
        <f>IF($B$22&lt;&gt;"Ready","",IF($B$6+49&gt;=$B$8,"",G311))</f>
      </c>
      <c r="C312" s="3">
        <f>IF($B$22&lt;&gt;"Ready","",IF($B$6+49&gt;=$B$8,"",IF(A312&lt;$B$7,12*($B$10+$B$11),0)))</f>
      </c>
      <c r="D312" s="3">
        <f>IF($B$22&lt;&gt;"Ready","",IF($B$6+49&gt;=$B$8,"",IF(A312&lt;$B$7,0,12*(IF($B$13&gt;0,IF(A312&gt;=$B$14,$B$13,0),0)+IF($B$15&gt;0,IF(A312&gt;=$B$16,$B$15,0),0)))))</f>
      </c>
      <c r="E312" s="3">
        <f>IF($B$22&lt;&gt;"Ready","",IF($B$6+49&gt;=$B$8,"",IF(A312&lt;$B$7,0,12*$B$12)))</f>
      </c>
      <c r="F312" s="3">
        <f>IF($B$22&lt;&gt;"Ready","",IF($B$6+49&gt;=$B$8,"",MAX(0,E312-D312)))</f>
      </c>
      <c r="G312" s="3">
        <f>IF($B$22&lt;&gt;"Ready","",IF($B$6+49&gt;=$B$8,"",MAX(0,B312*(1+$B$29)+C312-F312)))</f>
      </c>
      <c r="H312" s="3">
        <f>IF($B$22&lt;&gt;"Ready","",IF($B$6+49&gt;=$B$8,"",ROUND(IF(ABS((MAX(0,F312-(B312*(1+$B$29)+C312))*100)-(INT(MAX(0,F312-(B312*(1+$B$29)+C312))*100)+0.5))&lt;=MIN(0.0000001,4*2.220446049250313E-16*MAX(1,ABS(F312),ABS(B312*(1+$B$29)+C312))*100),(INT(MAX(0,F312-(B312*(1+$B$29)+C312))*100)+0.5),MAX(0,F312-(B312*(1+$B$29)+C312))*100),0)/100))</f>
      </c>
      <c r="I312" s="0">
        <f>IF($B$22&lt;&gt;"Ready","",IF($B$6+49&gt;=$B$8,"",IF(I311&lt;&gt;"",I311,IF(H312&gt;0,A312+1,""))))</f>
      </c>
    </row>
    <row r="313" ht="15" customHeight="1">
      <c r="A313" s="0">
        <f>IF($B$22&lt;&gt;"Ready","",IF($B$6+50&gt;=$B$8,"",$B$6+50))</f>
      </c>
      <c r="B313" s="3">
        <f>IF($B$22&lt;&gt;"Ready","",IF($B$6+50&gt;=$B$8,"",G312))</f>
      </c>
      <c r="C313" s="3">
        <f>IF($B$22&lt;&gt;"Ready","",IF($B$6+50&gt;=$B$8,"",IF(A313&lt;$B$7,12*($B$10+$B$11),0)))</f>
      </c>
      <c r="D313" s="3">
        <f>IF($B$22&lt;&gt;"Ready","",IF($B$6+50&gt;=$B$8,"",IF(A313&lt;$B$7,0,12*(IF($B$13&gt;0,IF(A313&gt;=$B$14,$B$13,0),0)+IF($B$15&gt;0,IF(A313&gt;=$B$16,$B$15,0),0)))))</f>
      </c>
      <c r="E313" s="3">
        <f>IF($B$22&lt;&gt;"Ready","",IF($B$6+50&gt;=$B$8,"",IF(A313&lt;$B$7,0,12*$B$12)))</f>
      </c>
      <c r="F313" s="3">
        <f>IF($B$22&lt;&gt;"Ready","",IF($B$6+50&gt;=$B$8,"",MAX(0,E313-D313)))</f>
      </c>
      <c r="G313" s="3">
        <f>IF($B$22&lt;&gt;"Ready","",IF($B$6+50&gt;=$B$8,"",MAX(0,B313*(1+$B$29)+C313-F313)))</f>
      </c>
      <c r="H313" s="3">
        <f>IF($B$22&lt;&gt;"Ready","",IF($B$6+50&gt;=$B$8,"",ROUND(IF(ABS((MAX(0,F313-(B313*(1+$B$29)+C313))*100)-(INT(MAX(0,F313-(B313*(1+$B$29)+C313))*100)+0.5))&lt;=MIN(0.0000001,4*2.220446049250313E-16*MAX(1,ABS(F313),ABS(B313*(1+$B$29)+C313))*100),(INT(MAX(0,F313-(B313*(1+$B$29)+C313))*100)+0.5),MAX(0,F313-(B313*(1+$B$29)+C313))*100),0)/100))</f>
      </c>
      <c r="I313" s="0">
        <f>IF($B$22&lt;&gt;"Ready","",IF($B$6+50&gt;=$B$8,"",IF(I312&lt;&gt;"",I312,IF(H313&gt;0,A313+1,""))))</f>
      </c>
    </row>
    <row r="314" ht="15" customHeight="1">
      <c r="A314" s="0">
        <f>IF($B$22&lt;&gt;"Ready","",IF($B$6+51&gt;=$B$8,"",$B$6+51))</f>
      </c>
      <c r="B314" s="3">
        <f>IF($B$22&lt;&gt;"Ready","",IF($B$6+51&gt;=$B$8,"",G313))</f>
      </c>
      <c r="C314" s="3">
        <f>IF($B$22&lt;&gt;"Ready","",IF($B$6+51&gt;=$B$8,"",IF(A314&lt;$B$7,12*($B$10+$B$11),0)))</f>
      </c>
      <c r="D314" s="3">
        <f>IF($B$22&lt;&gt;"Ready","",IF($B$6+51&gt;=$B$8,"",IF(A314&lt;$B$7,0,12*(IF($B$13&gt;0,IF(A314&gt;=$B$14,$B$13,0),0)+IF($B$15&gt;0,IF(A314&gt;=$B$16,$B$15,0),0)))))</f>
      </c>
      <c r="E314" s="3">
        <f>IF($B$22&lt;&gt;"Ready","",IF($B$6+51&gt;=$B$8,"",IF(A314&lt;$B$7,0,12*$B$12)))</f>
      </c>
      <c r="F314" s="3">
        <f>IF($B$22&lt;&gt;"Ready","",IF($B$6+51&gt;=$B$8,"",MAX(0,E314-D314)))</f>
      </c>
      <c r="G314" s="3">
        <f>IF($B$22&lt;&gt;"Ready","",IF($B$6+51&gt;=$B$8,"",MAX(0,B314*(1+$B$29)+C314-F314)))</f>
      </c>
      <c r="H314" s="3">
        <f>IF($B$22&lt;&gt;"Ready","",IF($B$6+51&gt;=$B$8,"",ROUND(IF(ABS((MAX(0,F314-(B314*(1+$B$29)+C314))*100)-(INT(MAX(0,F314-(B314*(1+$B$29)+C314))*100)+0.5))&lt;=MIN(0.0000001,4*2.220446049250313E-16*MAX(1,ABS(F314),ABS(B314*(1+$B$29)+C314))*100),(INT(MAX(0,F314-(B314*(1+$B$29)+C314))*100)+0.5),MAX(0,F314-(B314*(1+$B$29)+C314))*100),0)/100))</f>
      </c>
      <c r="I314" s="0">
        <f>IF($B$22&lt;&gt;"Ready","",IF($B$6+51&gt;=$B$8,"",IF(I313&lt;&gt;"",I313,IF(H314&gt;0,A314+1,""))))</f>
      </c>
    </row>
    <row r="315" ht="15" customHeight="1">
      <c r="A315" s="0">
        <f>IF($B$22&lt;&gt;"Ready","",IF($B$6+52&gt;=$B$8,"",$B$6+52))</f>
      </c>
      <c r="B315" s="3">
        <f>IF($B$22&lt;&gt;"Ready","",IF($B$6+52&gt;=$B$8,"",G314))</f>
      </c>
      <c r="C315" s="3">
        <f>IF($B$22&lt;&gt;"Ready","",IF($B$6+52&gt;=$B$8,"",IF(A315&lt;$B$7,12*($B$10+$B$11),0)))</f>
      </c>
      <c r="D315" s="3">
        <f>IF($B$22&lt;&gt;"Ready","",IF($B$6+52&gt;=$B$8,"",IF(A315&lt;$B$7,0,12*(IF($B$13&gt;0,IF(A315&gt;=$B$14,$B$13,0),0)+IF($B$15&gt;0,IF(A315&gt;=$B$16,$B$15,0),0)))))</f>
      </c>
      <c r="E315" s="3">
        <f>IF($B$22&lt;&gt;"Ready","",IF($B$6+52&gt;=$B$8,"",IF(A315&lt;$B$7,0,12*$B$12)))</f>
      </c>
      <c r="F315" s="3">
        <f>IF($B$22&lt;&gt;"Ready","",IF($B$6+52&gt;=$B$8,"",MAX(0,E315-D315)))</f>
      </c>
      <c r="G315" s="3">
        <f>IF($B$22&lt;&gt;"Ready","",IF($B$6+52&gt;=$B$8,"",MAX(0,B315*(1+$B$29)+C315-F315)))</f>
      </c>
      <c r="H315" s="3">
        <f>IF($B$22&lt;&gt;"Ready","",IF($B$6+52&gt;=$B$8,"",ROUND(IF(ABS((MAX(0,F315-(B315*(1+$B$29)+C315))*100)-(INT(MAX(0,F315-(B315*(1+$B$29)+C315))*100)+0.5))&lt;=MIN(0.0000001,4*2.220446049250313E-16*MAX(1,ABS(F315),ABS(B315*(1+$B$29)+C315))*100),(INT(MAX(0,F315-(B315*(1+$B$29)+C315))*100)+0.5),MAX(0,F315-(B315*(1+$B$29)+C315))*100),0)/100))</f>
      </c>
      <c r="I315" s="0">
        <f>IF($B$22&lt;&gt;"Ready","",IF($B$6+52&gt;=$B$8,"",IF(I314&lt;&gt;"",I314,IF(H315&gt;0,A315+1,""))))</f>
      </c>
    </row>
    <row r="316" ht="15" customHeight="1">
      <c r="A316" s="0">
        <f>IF($B$22&lt;&gt;"Ready","",IF($B$6+53&gt;=$B$8,"",$B$6+53))</f>
      </c>
      <c r="B316" s="3">
        <f>IF($B$22&lt;&gt;"Ready","",IF($B$6+53&gt;=$B$8,"",G315))</f>
      </c>
      <c r="C316" s="3">
        <f>IF($B$22&lt;&gt;"Ready","",IF($B$6+53&gt;=$B$8,"",IF(A316&lt;$B$7,12*($B$10+$B$11),0)))</f>
      </c>
      <c r="D316" s="3">
        <f>IF($B$22&lt;&gt;"Ready","",IF($B$6+53&gt;=$B$8,"",IF(A316&lt;$B$7,0,12*(IF($B$13&gt;0,IF(A316&gt;=$B$14,$B$13,0),0)+IF($B$15&gt;0,IF(A316&gt;=$B$16,$B$15,0),0)))))</f>
      </c>
      <c r="E316" s="3">
        <f>IF($B$22&lt;&gt;"Ready","",IF($B$6+53&gt;=$B$8,"",IF(A316&lt;$B$7,0,12*$B$12)))</f>
      </c>
      <c r="F316" s="3">
        <f>IF($B$22&lt;&gt;"Ready","",IF($B$6+53&gt;=$B$8,"",MAX(0,E316-D316)))</f>
      </c>
      <c r="G316" s="3">
        <f>IF($B$22&lt;&gt;"Ready","",IF($B$6+53&gt;=$B$8,"",MAX(0,B316*(1+$B$29)+C316-F316)))</f>
      </c>
      <c r="H316" s="3">
        <f>IF($B$22&lt;&gt;"Ready","",IF($B$6+53&gt;=$B$8,"",ROUND(IF(ABS((MAX(0,F316-(B316*(1+$B$29)+C316))*100)-(INT(MAX(0,F316-(B316*(1+$B$29)+C316))*100)+0.5))&lt;=MIN(0.0000001,4*2.220446049250313E-16*MAX(1,ABS(F316),ABS(B316*(1+$B$29)+C316))*100),(INT(MAX(0,F316-(B316*(1+$B$29)+C316))*100)+0.5),MAX(0,F316-(B316*(1+$B$29)+C316))*100),0)/100))</f>
      </c>
      <c r="I316" s="0">
        <f>IF($B$22&lt;&gt;"Ready","",IF($B$6+53&gt;=$B$8,"",IF(I315&lt;&gt;"",I315,IF(H316&gt;0,A316+1,""))))</f>
      </c>
    </row>
    <row r="317" ht="15" customHeight="1">
      <c r="A317" s="0">
        <f>IF($B$22&lt;&gt;"Ready","",IF($B$6+54&gt;=$B$8,"",$B$6+54))</f>
      </c>
      <c r="B317" s="3">
        <f>IF($B$22&lt;&gt;"Ready","",IF($B$6+54&gt;=$B$8,"",G316))</f>
      </c>
      <c r="C317" s="3">
        <f>IF($B$22&lt;&gt;"Ready","",IF($B$6+54&gt;=$B$8,"",IF(A317&lt;$B$7,12*($B$10+$B$11),0)))</f>
      </c>
      <c r="D317" s="3">
        <f>IF($B$22&lt;&gt;"Ready","",IF($B$6+54&gt;=$B$8,"",IF(A317&lt;$B$7,0,12*(IF($B$13&gt;0,IF(A317&gt;=$B$14,$B$13,0),0)+IF($B$15&gt;0,IF(A317&gt;=$B$16,$B$15,0),0)))))</f>
      </c>
      <c r="E317" s="3">
        <f>IF($B$22&lt;&gt;"Ready","",IF($B$6+54&gt;=$B$8,"",IF(A317&lt;$B$7,0,12*$B$12)))</f>
      </c>
      <c r="F317" s="3">
        <f>IF($B$22&lt;&gt;"Ready","",IF($B$6+54&gt;=$B$8,"",MAX(0,E317-D317)))</f>
      </c>
      <c r="G317" s="3">
        <f>IF($B$22&lt;&gt;"Ready","",IF($B$6+54&gt;=$B$8,"",MAX(0,B317*(1+$B$29)+C317-F317)))</f>
      </c>
      <c r="H317" s="3">
        <f>IF($B$22&lt;&gt;"Ready","",IF($B$6+54&gt;=$B$8,"",ROUND(IF(ABS((MAX(0,F317-(B317*(1+$B$29)+C317))*100)-(INT(MAX(0,F317-(B317*(1+$B$29)+C317))*100)+0.5))&lt;=MIN(0.0000001,4*2.220446049250313E-16*MAX(1,ABS(F317),ABS(B317*(1+$B$29)+C317))*100),(INT(MAX(0,F317-(B317*(1+$B$29)+C317))*100)+0.5),MAX(0,F317-(B317*(1+$B$29)+C317))*100),0)/100))</f>
      </c>
      <c r="I317" s="0">
        <f>IF($B$22&lt;&gt;"Ready","",IF($B$6+54&gt;=$B$8,"",IF(I316&lt;&gt;"",I316,IF(H317&gt;0,A317+1,""))))</f>
      </c>
    </row>
    <row r="318" ht="15" customHeight="1">
      <c r="A318" s="0">
        <f>IF($B$22&lt;&gt;"Ready","",IF($B$6+55&gt;=$B$8,"",$B$6+55))</f>
      </c>
      <c r="B318" s="3">
        <f>IF($B$22&lt;&gt;"Ready","",IF($B$6+55&gt;=$B$8,"",G317))</f>
      </c>
      <c r="C318" s="3">
        <f>IF($B$22&lt;&gt;"Ready","",IF($B$6+55&gt;=$B$8,"",IF(A318&lt;$B$7,12*($B$10+$B$11),0)))</f>
      </c>
      <c r="D318" s="3">
        <f>IF($B$22&lt;&gt;"Ready","",IF($B$6+55&gt;=$B$8,"",IF(A318&lt;$B$7,0,12*(IF($B$13&gt;0,IF(A318&gt;=$B$14,$B$13,0),0)+IF($B$15&gt;0,IF(A318&gt;=$B$16,$B$15,0),0)))))</f>
      </c>
      <c r="E318" s="3">
        <f>IF($B$22&lt;&gt;"Ready","",IF($B$6+55&gt;=$B$8,"",IF(A318&lt;$B$7,0,12*$B$12)))</f>
      </c>
      <c r="F318" s="3">
        <f>IF($B$22&lt;&gt;"Ready","",IF($B$6+55&gt;=$B$8,"",MAX(0,E318-D318)))</f>
      </c>
      <c r="G318" s="3">
        <f>IF($B$22&lt;&gt;"Ready","",IF($B$6+55&gt;=$B$8,"",MAX(0,B318*(1+$B$29)+C318-F318)))</f>
      </c>
      <c r="H318" s="3">
        <f>IF($B$22&lt;&gt;"Ready","",IF($B$6+55&gt;=$B$8,"",ROUND(IF(ABS((MAX(0,F318-(B318*(1+$B$29)+C318))*100)-(INT(MAX(0,F318-(B318*(1+$B$29)+C318))*100)+0.5))&lt;=MIN(0.0000001,4*2.220446049250313E-16*MAX(1,ABS(F318),ABS(B318*(1+$B$29)+C318))*100),(INT(MAX(0,F318-(B318*(1+$B$29)+C318))*100)+0.5),MAX(0,F318-(B318*(1+$B$29)+C318))*100),0)/100))</f>
      </c>
      <c r="I318" s="0">
        <f>IF($B$22&lt;&gt;"Ready","",IF($B$6+55&gt;=$B$8,"",IF(I317&lt;&gt;"",I317,IF(H318&gt;0,A318+1,""))))</f>
      </c>
    </row>
    <row r="319" ht="15" customHeight="1">
      <c r="A319" s="0">
        <f>IF($B$22&lt;&gt;"Ready","",IF($B$6+56&gt;=$B$8,"",$B$6+56))</f>
      </c>
      <c r="B319" s="3">
        <f>IF($B$22&lt;&gt;"Ready","",IF($B$6+56&gt;=$B$8,"",G318))</f>
      </c>
      <c r="C319" s="3">
        <f>IF($B$22&lt;&gt;"Ready","",IF($B$6+56&gt;=$B$8,"",IF(A319&lt;$B$7,12*($B$10+$B$11),0)))</f>
      </c>
      <c r="D319" s="3">
        <f>IF($B$22&lt;&gt;"Ready","",IF($B$6+56&gt;=$B$8,"",IF(A319&lt;$B$7,0,12*(IF($B$13&gt;0,IF(A319&gt;=$B$14,$B$13,0),0)+IF($B$15&gt;0,IF(A319&gt;=$B$16,$B$15,0),0)))))</f>
      </c>
      <c r="E319" s="3">
        <f>IF($B$22&lt;&gt;"Ready","",IF($B$6+56&gt;=$B$8,"",IF(A319&lt;$B$7,0,12*$B$12)))</f>
      </c>
      <c r="F319" s="3">
        <f>IF($B$22&lt;&gt;"Ready","",IF($B$6+56&gt;=$B$8,"",MAX(0,E319-D319)))</f>
      </c>
      <c r="G319" s="3">
        <f>IF($B$22&lt;&gt;"Ready","",IF($B$6+56&gt;=$B$8,"",MAX(0,B319*(1+$B$29)+C319-F319)))</f>
      </c>
      <c r="H319" s="3">
        <f>IF($B$22&lt;&gt;"Ready","",IF($B$6+56&gt;=$B$8,"",ROUND(IF(ABS((MAX(0,F319-(B319*(1+$B$29)+C319))*100)-(INT(MAX(0,F319-(B319*(1+$B$29)+C319))*100)+0.5))&lt;=MIN(0.0000001,4*2.220446049250313E-16*MAX(1,ABS(F319),ABS(B319*(1+$B$29)+C319))*100),(INT(MAX(0,F319-(B319*(1+$B$29)+C319))*100)+0.5),MAX(0,F319-(B319*(1+$B$29)+C319))*100),0)/100))</f>
      </c>
      <c r="I319" s="0">
        <f>IF($B$22&lt;&gt;"Ready","",IF($B$6+56&gt;=$B$8,"",IF(I318&lt;&gt;"",I318,IF(H319&gt;0,A319+1,""))))</f>
      </c>
    </row>
    <row r="320" ht="15" customHeight="1">
      <c r="A320" s="0">
        <f>IF($B$22&lt;&gt;"Ready","",IF($B$6+57&gt;=$B$8,"",$B$6+57))</f>
      </c>
      <c r="B320" s="3">
        <f>IF($B$22&lt;&gt;"Ready","",IF($B$6+57&gt;=$B$8,"",G319))</f>
      </c>
      <c r="C320" s="3">
        <f>IF($B$22&lt;&gt;"Ready","",IF($B$6+57&gt;=$B$8,"",IF(A320&lt;$B$7,12*($B$10+$B$11),0)))</f>
      </c>
      <c r="D320" s="3">
        <f>IF($B$22&lt;&gt;"Ready","",IF($B$6+57&gt;=$B$8,"",IF(A320&lt;$B$7,0,12*(IF($B$13&gt;0,IF(A320&gt;=$B$14,$B$13,0),0)+IF($B$15&gt;0,IF(A320&gt;=$B$16,$B$15,0),0)))))</f>
      </c>
      <c r="E320" s="3">
        <f>IF($B$22&lt;&gt;"Ready","",IF($B$6+57&gt;=$B$8,"",IF(A320&lt;$B$7,0,12*$B$12)))</f>
      </c>
      <c r="F320" s="3">
        <f>IF($B$22&lt;&gt;"Ready","",IF($B$6+57&gt;=$B$8,"",MAX(0,E320-D320)))</f>
      </c>
      <c r="G320" s="3">
        <f>IF($B$22&lt;&gt;"Ready","",IF($B$6+57&gt;=$B$8,"",MAX(0,B320*(1+$B$29)+C320-F320)))</f>
      </c>
      <c r="H320" s="3">
        <f>IF($B$22&lt;&gt;"Ready","",IF($B$6+57&gt;=$B$8,"",ROUND(IF(ABS((MAX(0,F320-(B320*(1+$B$29)+C320))*100)-(INT(MAX(0,F320-(B320*(1+$B$29)+C320))*100)+0.5))&lt;=MIN(0.0000001,4*2.220446049250313E-16*MAX(1,ABS(F320),ABS(B320*(1+$B$29)+C320))*100),(INT(MAX(0,F320-(B320*(1+$B$29)+C320))*100)+0.5),MAX(0,F320-(B320*(1+$B$29)+C320))*100),0)/100))</f>
      </c>
      <c r="I320" s="0">
        <f>IF($B$22&lt;&gt;"Ready","",IF($B$6+57&gt;=$B$8,"",IF(I319&lt;&gt;"",I319,IF(H320&gt;0,A320+1,""))))</f>
      </c>
    </row>
    <row r="321" ht="15" customHeight="1">
      <c r="A321" s="0">
        <f>IF($B$22&lt;&gt;"Ready","",IF($B$6+58&gt;=$B$8,"",$B$6+58))</f>
      </c>
      <c r="B321" s="3">
        <f>IF($B$22&lt;&gt;"Ready","",IF($B$6+58&gt;=$B$8,"",G320))</f>
      </c>
      <c r="C321" s="3">
        <f>IF($B$22&lt;&gt;"Ready","",IF($B$6+58&gt;=$B$8,"",IF(A321&lt;$B$7,12*($B$10+$B$11),0)))</f>
      </c>
      <c r="D321" s="3">
        <f>IF($B$22&lt;&gt;"Ready","",IF($B$6+58&gt;=$B$8,"",IF(A321&lt;$B$7,0,12*(IF($B$13&gt;0,IF(A321&gt;=$B$14,$B$13,0),0)+IF($B$15&gt;0,IF(A321&gt;=$B$16,$B$15,0),0)))))</f>
      </c>
      <c r="E321" s="3">
        <f>IF($B$22&lt;&gt;"Ready","",IF($B$6+58&gt;=$B$8,"",IF(A321&lt;$B$7,0,12*$B$12)))</f>
      </c>
      <c r="F321" s="3">
        <f>IF($B$22&lt;&gt;"Ready","",IF($B$6+58&gt;=$B$8,"",MAX(0,E321-D321)))</f>
      </c>
      <c r="G321" s="3">
        <f>IF($B$22&lt;&gt;"Ready","",IF($B$6+58&gt;=$B$8,"",MAX(0,B321*(1+$B$29)+C321-F321)))</f>
      </c>
      <c r="H321" s="3">
        <f>IF($B$22&lt;&gt;"Ready","",IF($B$6+58&gt;=$B$8,"",ROUND(IF(ABS((MAX(0,F321-(B321*(1+$B$29)+C321))*100)-(INT(MAX(0,F321-(B321*(1+$B$29)+C321))*100)+0.5))&lt;=MIN(0.0000001,4*2.220446049250313E-16*MAX(1,ABS(F321),ABS(B321*(1+$B$29)+C321))*100),(INT(MAX(0,F321-(B321*(1+$B$29)+C321))*100)+0.5),MAX(0,F321-(B321*(1+$B$29)+C321))*100),0)/100))</f>
      </c>
      <c r="I321" s="0">
        <f>IF($B$22&lt;&gt;"Ready","",IF($B$6+58&gt;=$B$8,"",IF(I320&lt;&gt;"",I320,IF(H321&gt;0,A321+1,""))))</f>
      </c>
    </row>
    <row r="322" ht="15" customHeight="1">
      <c r="A322" s="0">
        <f>IF($B$22&lt;&gt;"Ready","",IF($B$6+59&gt;=$B$8,"",$B$6+59))</f>
      </c>
      <c r="B322" s="3">
        <f>IF($B$22&lt;&gt;"Ready","",IF($B$6+59&gt;=$B$8,"",G321))</f>
      </c>
      <c r="C322" s="3">
        <f>IF($B$22&lt;&gt;"Ready","",IF($B$6+59&gt;=$B$8,"",IF(A322&lt;$B$7,12*($B$10+$B$11),0)))</f>
      </c>
      <c r="D322" s="3">
        <f>IF($B$22&lt;&gt;"Ready","",IF($B$6+59&gt;=$B$8,"",IF(A322&lt;$B$7,0,12*(IF($B$13&gt;0,IF(A322&gt;=$B$14,$B$13,0),0)+IF($B$15&gt;0,IF(A322&gt;=$B$16,$B$15,0),0)))))</f>
      </c>
      <c r="E322" s="3">
        <f>IF($B$22&lt;&gt;"Ready","",IF($B$6+59&gt;=$B$8,"",IF(A322&lt;$B$7,0,12*$B$12)))</f>
      </c>
      <c r="F322" s="3">
        <f>IF($B$22&lt;&gt;"Ready","",IF($B$6+59&gt;=$B$8,"",MAX(0,E322-D322)))</f>
      </c>
      <c r="G322" s="3">
        <f>IF($B$22&lt;&gt;"Ready","",IF($B$6+59&gt;=$B$8,"",MAX(0,B322*(1+$B$29)+C322-F322)))</f>
      </c>
      <c r="H322" s="3">
        <f>IF($B$22&lt;&gt;"Ready","",IF($B$6+59&gt;=$B$8,"",ROUND(IF(ABS((MAX(0,F322-(B322*(1+$B$29)+C322))*100)-(INT(MAX(0,F322-(B322*(1+$B$29)+C322))*100)+0.5))&lt;=MIN(0.0000001,4*2.220446049250313E-16*MAX(1,ABS(F322),ABS(B322*(1+$B$29)+C322))*100),(INT(MAX(0,F322-(B322*(1+$B$29)+C322))*100)+0.5),MAX(0,F322-(B322*(1+$B$29)+C322))*100),0)/100))</f>
      </c>
      <c r="I322" s="0">
        <f>IF($B$22&lt;&gt;"Ready","",IF($B$6+59&gt;=$B$8,"",IF(I321&lt;&gt;"",I321,IF(H322&gt;0,A322+1,""))))</f>
      </c>
    </row>
    <row r="323" ht="15" customHeight="1">
      <c r="A323" s="0">
        <f>IF($B$22&lt;&gt;"Ready","",IF($B$6+60&gt;=$B$8,"",$B$6+60))</f>
      </c>
      <c r="B323" s="3">
        <f>IF($B$22&lt;&gt;"Ready","",IF($B$6+60&gt;=$B$8,"",G322))</f>
      </c>
      <c r="C323" s="3">
        <f>IF($B$22&lt;&gt;"Ready","",IF($B$6+60&gt;=$B$8,"",IF(A323&lt;$B$7,12*($B$10+$B$11),0)))</f>
      </c>
      <c r="D323" s="3">
        <f>IF($B$22&lt;&gt;"Ready","",IF($B$6+60&gt;=$B$8,"",IF(A323&lt;$B$7,0,12*(IF($B$13&gt;0,IF(A323&gt;=$B$14,$B$13,0),0)+IF($B$15&gt;0,IF(A323&gt;=$B$16,$B$15,0),0)))))</f>
      </c>
      <c r="E323" s="3">
        <f>IF($B$22&lt;&gt;"Ready","",IF($B$6+60&gt;=$B$8,"",IF(A323&lt;$B$7,0,12*$B$12)))</f>
      </c>
      <c r="F323" s="3">
        <f>IF($B$22&lt;&gt;"Ready","",IF($B$6+60&gt;=$B$8,"",MAX(0,E323-D323)))</f>
      </c>
      <c r="G323" s="3">
        <f>IF($B$22&lt;&gt;"Ready","",IF($B$6+60&gt;=$B$8,"",MAX(0,B323*(1+$B$29)+C323-F323)))</f>
      </c>
      <c r="H323" s="3">
        <f>IF($B$22&lt;&gt;"Ready","",IF($B$6+60&gt;=$B$8,"",ROUND(IF(ABS((MAX(0,F323-(B323*(1+$B$29)+C323))*100)-(INT(MAX(0,F323-(B323*(1+$B$29)+C323))*100)+0.5))&lt;=MIN(0.0000001,4*2.220446049250313E-16*MAX(1,ABS(F323),ABS(B323*(1+$B$29)+C323))*100),(INT(MAX(0,F323-(B323*(1+$B$29)+C323))*100)+0.5),MAX(0,F323-(B323*(1+$B$29)+C323))*100),0)/100))</f>
      </c>
      <c r="I323" s="0">
        <f>IF($B$22&lt;&gt;"Ready","",IF($B$6+60&gt;=$B$8,"",IF(I322&lt;&gt;"",I322,IF(H323&gt;0,A323+1,""))))</f>
      </c>
    </row>
    <row r="324" ht="15" customHeight="1">
      <c r="A324" s="0">
        <f>IF($B$22&lt;&gt;"Ready","",IF($B$6+61&gt;=$B$8,"",$B$6+61))</f>
      </c>
      <c r="B324" s="3">
        <f>IF($B$22&lt;&gt;"Ready","",IF($B$6+61&gt;=$B$8,"",G323))</f>
      </c>
      <c r="C324" s="3">
        <f>IF($B$22&lt;&gt;"Ready","",IF($B$6+61&gt;=$B$8,"",IF(A324&lt;$B$7,12*($B$10+$B$11),0)))</f>
      </c>
      <c r="D324" s="3">
        <f>IF($B$22&lt;&gt;"Ready","",IF($B$6+61&gt;=$B$8,"",IF(A324&lt;$B$7,0,12*(IF($B$13&gt;0,IF(A324&gt;=$B$14,$B$13,0),0)+IF($B$15&gt;0,IF(A324&gt;=$B$16,$B$15,0),0)))))</f>
      </c>
      <c r="E324" s="3">
        <f>IF($B$22&lt;&gt;"Ready","",IF($B$6+61&gt;=$B$8,"",IF(A324&lt;$B$7,0,12*$B$12)))</f>
      </c>
      <c r="F324" s="3">
        <f>IF($B$22&lt;&gt;"Ready","",IF($B$6+61&gt;=$B$8,"",MAX(0,E324-D324)))</f>
      </c>
      <c r="G324" s="3">
        <f>IF($B$22&lt;&gt;"Ready","",IF($B$6+61&gt;=$B$8,"",MAX(0,B324*(1+$B$29)+C324-F324)))</f>
      </c>
      <c r="H324" s="3">
        <f>IF($B$22&lt;&gt;"Ready","",IF($B$6+61&gt;=$B$8,"",ROUND(IF(ABS((MAX(0,F324-(B324*(1+$B$29)+C324))*100)-(INT(MAX(0,F324-(B324*(1+$B$29)+C324))*100)+0.5))&lt;=MIN(0.0000001,4*2.220446049250313E-16*MAX(1,ABS(F324),ABS(B324*(1+$B$29)+C324))*100),(INT(MAX(0,F324-(B324*(1+$B$29)+C324))*100)+0.5),MAX(0,F324-(B324*(1+$B$29)+C324))*100),0)/100))</f>
      </c>
      <c r="I324" s="0">
        <f>IF($B$22&lt;&gt;"Ready","",IF($B$6+61&gt;=$B$8,"",IF(I323&lt;&gt;"",I323,IF(H324&gt;0,A324+1,""))))</f>
      </c>
    </row>
    <row r="325" ht="15" customHeight="1">
      <c r="A325" s="0">
        <f>IF($B$22&lt;&gt;"Ready","",IF($B$6+62&gt;=$B$8,"",$B$6+62))</f>
      </c>
      <c r="B325" s="3">
        <f>IF($B$22&lt;&gt;"Ready","",IF($B$6+62&gt;=$B$8,"",G324))</f>
      </c>
      <c r="C325" s="3">
        <f>IF($B$22&lt;&gt;"Ready","",IF($B$6+62&gt;=$B$8,"",IF(A325&lt;$B$7,12*($B$10+$B$11),0)))</f>
      </c>
      <c r="D325" s="3">
        <f>IF($B$22&lt;&gt;"Ready","",IF($B$6+62&gt;=$B$8,"",IF(A325&lt;$B$7,0,12*(IF($B$13&gt;0,IF(A325&gt;=$B$14,$B$13,0),0)+IF($B$15&gt;0,IF(A325&gt;=$B$16,$B$15,0),0)))))</f>
      </c>
      <c r="E325" s="3">
        <f>IF($B$22&lt;&gt;"Ready","",IF($B$6+62&gt;=$B$8,"",IF(A325&lt;$B$7,0,12*$B$12)))</f>
      </c>
      <c r="F325" s="3">
        <f>IF($B$22&lt;&gt;"Ready","",IF($B$6+62&gt;=$B$8,"",MAX(0,E325-D325)))</f>
      </c>
      <c r="G325" s="3">
        <f>IF($B$22&lt;&gt;"Ready","",IF($B$6+62&gt;=$B$8,"",MAX(0,B325*(1+$B$29)+C325-F325)))</f>
      </c>
      <c r="H325" s="3">
        <f>IF($B$22&lt;&gt;"Ready","",IF($B$6+62&gt;=$B$8,"",ROUND(IF(ABS((MAX(0,F325-(B325*(1+$B$29)+C325))*100)-(INT(MAX(0,F325-(B325*(1+$B$29)+C325))*100)+0.5))&lt;=MIN(0.0000001,4*2.220446049250313E-16*MAX(1,ABS(F325),ABS(B325*(1+$B$29)+C325))*100),(INT(MAX(0,F325-(B325*(1+$B$29)+C325))*100)+0.5),MAX(0,F325-(B325*(1+$B$29)+C325))*100),0)/100))</f>
      </c>
      <c r="I325" s="0">
        <f>IF($B$22&lt;&gt;"Ready","",IF($B$6+62&gt;=$B$8,"",IF(I324&lt;&gt;"",I324,IF(H325&gt;0,A325+1,""))))</f>
      </c>
    </row>
    <row r="326" ht="15" customHeight="1">
      <c r="A326" s="0">
        <f>IF($B$22&lt;&gt;"Ready","",IF($B$6+63&gt;=$B$8,"",$B$6+63))</f>
      </c>
      <c r="B326" s="3">
        <f>IF($B$22&lt;&gt;"Ready","",IF($B$6+63&gt;=$B$8,"",G325))</f>
      </c>
      <c r="C326" s="3">
        <f>IF($B$22&lt;&gt;"Ready","",IF($B$6+63&gt;=$B$8,"",IF(A326&lt;$B$7,12*($B$10+$B$11),0)))</f>
      </c>
      <c r="D326" s="3">
        <f>IF($B$22&lt;&gt;"Ready","",IF($B$6+63&gt;=$B$8,"",IF(A326&lt;$B$7,0,12*(IF($B$13&gt;0,IF(A326&gt;=$B$14,$B$13,0),0)+IF($B$15&gt;0,IF(A326&gt;=$B$16,$B$15,0),0)))))</f>
      </c>
      <c r="E326" s="3">
        <f>IF($B$22&lt;&gt;"Ready","",IF($B$6+63&gt;=$B$8,"",IF(A326&lt;$B$7,0,12*$B$12)))</f>
      </c>
      <c r="F326" s="3">
        <f>IF($B$22&lt;&gt;"Ready","",IF($B$6+63&gt;=$B$8,"",MAX(0,E326-D326)))</f>
      </c>
      <c r="G326" s="3">
        <f>IF($B$22&lt;&gt;"Ready","",IF($B$6+63&gt;=$B$8,"",MAX(0,B326*(1+$B$29)+C326-F326)))</f>
      </c>
      <c r="H326" s="3">
        <f>IF($B$22&lt;&gt;"Ready","",IF($B$6+63&gt;=$B$8,"",ROUND(IF(ABS((MAX(0,F326-(B326*(1+$B$29)+C326))*100)-(INT(MAX(0,F326-(B326*(1+$B$29)+C326))*100)+0.5))&lt;=MIN(0.0000001,4*2.220446049250313E-16*MAX(1,ABS(F326),ABS(B326*(1+$B$29)+C326))*100),(INT(MAX(0,F326-(B326*(1+$B$29)+C326))*100)+0.5),MAX(0,F326-(B326*(1+$B$29)+C326))*100),0)/100))</f>
      </c>
      <c r="I326" s="0">
        <f>IF($B$22&lt;&gt;"Ready","",IF($B$6+63&gt;=$B$8,"",IF(I325&lt;&gt;"",I325,IF(H326&gt;0,A326+1,""))))</f>
      </c>
    </row>
    <row r="327" ht="15" customHeight="1">
      <c r="A327" s="0">
        <f>IF($B$22&lt;&gt;"Ready","",IF($B$6+64&gt;=$B$8,"",$B$6+64))</f>
      </c>
      <c r="B327" s="3">
        <f>IF($B$22&lt;&gt;"Ready","",IF($B$6+64&gt;=$B$8,"",G326))</f>
      </c>
      <c r="C327" s="3">
        <f>IF($B$22&lt;&gt;"Ready","",IF($B$6+64&gt;=$B$8,"",IF(A327&lt;$B$7,12*($B$10+$B$11),0)))</f>
      </c>
      <c r="D327" s="3">
        <f>IF($B$22&lt;&gt;"Ready","",IF($B$6+64&gt;=$B$8,"",IF(A327&lt;$B$7,0,12*(IF($B$13&gt;0,IF(A327&gt;=$B$14,$B$13,0),0)+IF($B$15&gt;0,IF(A327&gt;=$B$16,$B$15,0),0)))))</f>
      </c>
      <c r="E327" s="3">
        <f>IF($B$22&lt;&gt;"Ready","",IF($B$6+64&gt;=$B$8,"",IF(A327&lt;$B$7,0,12*$B$12)))</f>
      </c>
      <c r="F327" s="3">
        <f>IF($B$22&lt;&gt;"Ready","",IF($B$6+64&gt;=$B$8,"",MAX(0,E327-D327)))</f>
      </c>
      <c r="G327" s="3">
        <f>IF($B$22&lt;&gt;"Ready","",IF($B$6+64&gt;=$B$8,"",MAX(0,B327*(1+$B$29)+C327-F327)))</f>
      </c>
      <c r="H327" s="3">
        <f>IF($B$22&lt;&gt;"Ready","",IF($B$6+64&gt;=$B$8,"",ROUND(IF(ABS((MAX(0,F327-(B327*(1+$B$29)+C327))*100)-(INT(MAX(0,F327-(B327*(1+$B$29)+C327))*100)+0.5))&lt;=MIN(0.0000001,4*2.220446049250313E-16*MAX(1,ABS(F327),ABS(B327*(1+$B$29)+C327))*100),(INT(MAX(0,F327-(B327*(1+$B$29)+C327))*100)+0.5),MAX(0,F327-(B327*(1+$B$29)+C327))*100),0)/100))</f>
      </c>
      <c r="I327" s="0">
        <f>IF($B$22&lt;&gt;"Ready","",IF($B$6+64&gt;=$B$8,"",IF(I326&lt;&gt;"",I326,IF(H327&gt;0,A327+1,""))))</f>
      </c>
    </row>
    <row r="328" ht="15" customHeight="1">
      <c r="A328" s="0">
        <f>IF($B$22&lt;&gt;"Ready","",IF($B$6+65&gt;=$B$8,"",$B$6+65))</f>
      </c>
      <c r="B328" s="3">
        <f>IF($B$22&lt;&gt;"Ready","",IF($B$6+65&gt;=$B$8,"",G327))</f>
      </c>
      <c r="C328" s="3">
        <f>IF($B$22&lt;&gt;"Ready","",IF($B$6+65&gt;=$B$8,"",IF(A328&lt;$B$7,12*($B$10+$B$11),0)))</f>
      </c>
      <c r="D328" s="3">
        <f>IF($B$22&lt;&gt;"Ready","",IF($B$6+65&gt;=$B$8,"",IF(A328&lt;$B$7,0,12*(IF($B$13&gt;0,IF(A328&gt;=$B$14,$B$13,0),0)+IF($B$15&gt;0,IF(A328&gt;=$B$16,$B$15,0),0)))))</f>
      </c>
      <c r="E328" s="3">
        <f>IF($B$22&lt;&gt;"Ready","",IF($B$6+65&gt;=$B$8,"",IF(A328&lt;$B$7,0,12*$B$12)))</f>
      </c>
      <c r="F328" s="3">
        <f>IF($B$22&lt;&gt;"Ready","",IF($B$6+65&gt;=$B$8,"",MAX(0,E328-D328)))</f>
      </c>
      <c r="G328" s="3">
        <f>IF($B$22&lt;&gt;"Ready","",IF($B$6+65&gt;=$B$8,"",MAX(0,B328*(1+$B$29)+C328-F328)))</f>
      </c>
      <c r="H328" s="3">
        <f>IF($B$22&lt;&gt;"Ready","",IF($B$6+65&gt;=$B$8,"",ROUND(IF(ABS((MAX(0,F328-(B328*(1+$B$29)+C328))*100)-(INT(MAX(0,F328-(B328*(1+$B$29)+C328))*100)+0.5))&lt;=MIN(0.0000001,4*2.220446049250313E-16*MAX(1,ABS(F328),ABS(B328*(1+$B$29)+C328))*100),(INT(MAX(0,F328-(B328*(1+$B$29)+C328))*100)+0.5),MAX(0,F328-(B328*(1+$B$29)+C328))*100),0)/100))</f>
      </c>
      <c r="I328" s="0">
        <f>IF($B$22&lt;&gt;"Ready","",IF($B$6+65&gt;=$B$8,"",IF(I327&lt;&gt;"",I327,IF(H328&gt;0,A328+1,""))))</f>
      </c>
    </row>
    <row r="329" ht="15" customHeight="1">
      <c r="A329" s="0">
        <f>IF($B$22&lt;&gt;"Ready","",IF($B$6+66&gt;=$B$8,"",$B$6+66))</f>
      </c>
      <c r="B329" s="3">
        <f>IF($B$22&lt;&gt;"Ready","",IF($B$6+66&gt;=$B$8,"",G328))</f>
      </c>
      <c r="C329" s="3">
        <f>IF($B$22&lt;&gt;"Ready","",IF($B$6+66&gt;=$B$8,"",IF(A329&lt;$B$7,12*($B$10+$B$11),0)))</f>
      </c>
      <c r="D329" s="3">
        <f>IF($B$22&lt;&gt;"Ready","",IF($B$6+66&gt;=$B$8,"",IF(A329&lt;$B$7,0,12*(IF($B$13&gt;0,IF(A329&gt;=$B$14,$B$13,0),0)+IF($B$15&gt;0,IF(A329&gt;=$B$16,$B$15,0),0)))))</f>
      </c>
      <c r="E329" s="3">
        <f>IF($B$22&lt;&gt;"Ready","",IF($B$6+66&gt;=$B$8,"",IF(A329&lt;$B$7,0,12*$B$12)))</f>
      </c>
      <c r="F329" s="3">
        <f>IF($B$22&lt;&gt;"Ready","",IF($B$6+66&gt;=$B$8,"",MAX(0,E329-D329)))</f>
      </c>
      <c r="G329" s="3">
        <f>IF($B$22&lt;&gt;"Ready","",IF($B$6+66&gt;=$B$8,"",MAX(0,B329*(1+$B$29)+C329-F329)))</f>
      </c>
      <c r="H329" s="3">
        <f>IF($B$22&lt;&gt;"Ready","",IF($B$6+66&gt;=$B$8,"",ROUND(IF(ABS((MAX(0,F329-(B329*(1+$B$29)+C329))*100)-(INT(MAX(0,F329-(B329*(1+$B$29)+C329))*100)+0.5))&lt;=MIN(0.0000001,4*2.220446049250313E-16*MAX(1,ABS(F329),ABS(B329*(1+$B$29)+C329))*100),(INT(MAX(0,F329-(B329*(1+$B$29)+C329))*100)+0.5),MAX(0,F329-(B329*(1+$B$29)+C329))*100),0)/100))</f>
      </c>
      <c r="I329" s="0">
        <f>IF($B$22&lt;&gt;"Ready","",IF($B$6+66&gt;=$B$8,"",IF(I328&lt;&gt;"",I328,IF(H329&gt;0,A329+1,""))))</f>
      </c>
    </row>
    <row r="330" ht="15" customHeight="1">
      <c r="A330" s="0">
        <f>IF($B$22&lt;&gt;"Ready","",IF($B$6+67&gt;=$B$8,"",$B$6+67))</f>
      </c>
      <c r="B330" s="3">
        <f>IF($B$22&lt;&gt;"Ready","",IF($B$6+67&gt;=$B$8,"",G329))</f>
      </c>
      <c r="C330" s="3">
        <f>IF($B$22&lt;&gt;"Ready","",IF($B$6+67&gt;=$B$8,"",IF(A330&lt;$B$7,12*($B$10+$B$11),0)))</f>
      </c>
      <c r="D330" s="3">
        <f>IF($B$22&lt;&gt;"Ready","",IF($B$6+67&gt;=$B$8,"",IF(A330&lt;$B$7,0,12*(IF($B$13&gt;0,IF(A330&gt;=$B$14,$B$13,0),0)+IF($B$15&gt;0,IF(A330&gt;=$B$16,$B$15,0),0)))))</f>
      </c>
      <c r="E330" s="3">
        <f>IF($B$22&lt;&gt;"Ready","",IF($B$6+67&gt;=$B$8,"",IF(A330&lt;$B$7,0,12*$B$12)))</f>
      </c>
      <c r="F330" s="3">
        <f>IF($B$22&lt;&gt;"Ready","",IF($B$6+67&gt;=$B$8,"",MAX(0,E330-D330)))</f>
      </c>
      <c r="G330" s="3">
        <f>IF($B$22&lt;&gt;"Ready","",IF($B$6+67&gt;=$B$8,"",MAX(0,B330*(1+$B$29)+C330-F330)))</f>
      </c>
      <c r="H330" s="3">
        <f>IF($B$22&lt;&gt;"Ready","",IF($B$6+67&gt;=$B$8,"",ROUND(IF(ABS((MAX(0,F330-(B330*(1+$B$29)+C330))*100)-(INT(MAX(0,F330-(B330*(1+$B$29)+C330))*100)+0.5))&lt;=MIN(0.0000001,4*2.220446049250313E-16*MAX(1,ABS(F330),ABS(B330*(1+$B$29)+C330))*100),(INT(MAX(0,F330-(B330*(1+$B$29)+C330))*100)+0.5),MAX(0,F330-(B330*(1+$B$29)+C330))*100),0)/100))</f>
      </c>
      <c r="I330" s="0">
        <f>IF($B$22&lt;&gt;"Ready","",IF($B$6+67&gt;=$B$8,"",IF(I329&lt;&gt;"",I329,IF(H330&gt;0,A330+1,""))))</f>
      </c>
    </row>
    <row r="331" ht="15" customHeight="1">
      <c r="A331" s="0">
        <f>IF($B$22&lt;&gt;"Ready","",IF($B$6+68&gt;=$B$8,"",$B$6+68))</f>
      </c>
      <c r="B331" s="3">
        <f>IF($B$22&lt;&gt;"Ready","",IF($B$6+68&gt;=$B$8,"",G330))</f>
      </c>
      <c r="C331" s="3">
        <f>IF($B$22&lt;&gt;"Ready","",IF($B$6+68&gt;=$B$8,"",IF(A331&lt;$B$7,12*($B$10+$B$11),0)))</f>
      </c>
      <c r="D331" s="3">
        <f>IF($B$22&lt;&gt;"Ready","",IF($B$6+68&gt;=$B$8,"",IF(A331&lt;$B$7,0,12*(IF($B$13&gt;0,IF(A331&gt;=$B$14,$B$13,0),0)+IF($B$15&gt;0,IF(A331&gt;=$B$16,$B$15,0),0)))))</f>
      </c>
      <c r="E331" s="3">
        <f>IF($B$22&lt;&gt;"Ready","",IF($B$6+68&gt;=$B$8,"",IF(A331&lt;$B$7,0,12*$B$12)))</f>
      </c>
      <c r="F331" s="3">
        <f>IF($B$22&lt;&gt;"Ready","",IF($B$6+68&gt;=$B$8,"",MAX(0,E331-D331)))</f>
      </c>
      <c r="G331" s="3">
        <f>IF($B$22&lt;&gt;"Ready","",IF($B$6+68&gt;=$B$8,"",MAX(0,B331*(1+$B$29)+C331-F331)))</f>
      </c>
      <c r="H331" s="3">
        <f>IF($B$22&lt;&gt;"Ready","",IF($B$6+68&gt;=$B$8,"",ROUND(IF(ABS((MAX(0,F331-(B331*(1+$B$29)+C331))*100)-(INT(MAX(0,F331-(B331*(1+$B$29)+C331))*100)+0.5))&lt;=MIN(0.0000001,4*2.220446049250313E-16*MAX(1,ABS(F331),ABS(B331*(1+$B$29)+C331))*100),(INT(MAX(0,F331-(B331*(1+$B$29)+C331))*100)+0.5),MAX(0,F331-(B331*(1+$B$29)+C331))*100),0)/100))</f>
      </c>
      <c r="I331" s="0">
        <f>IF($B$22&lt;&gt;"Ready","",IF($B$6+68&gt;=$B$8,"",IF(I330&lt;&gt;"",I330,IF(H331&gt;0,A331+1,""))))</f>
      </c>
    </row>
    <row r="332" ht="15" customHeight="1">
      <c r="A332" s="0">
        <f>IF($B$22&lt;&gt;"Ready","",IF($B$6+69&gt;=$B$8,"",$B$6+69))</f>
      </c>
      <c r="B332" s="3">
        <f>IF($B$22&lt;&gt;"Ready","",IF($B$6+69&gt;=$B$8,"",G331))</f>
      </c>
      <c r="C332" s="3">
        <f>IF($B$22&lt;&gt;"Ready","",IF($B$6+69&gt;=$B$8,"",IF(A332&lt;$B$7,12*($B$10+$B$11),0)))</f>
      </c>
      <c r="D332" s="3">
        <f>IF($B$22&lt;&gt;"Ready","",IF($B$6+69&gt;=$B$8,"",IF(A332&lt;$B$7,0,12*(IF($B$13&gt;0,IF(A332&gt;=$B$14,$B$13,0),0)+IF($B$15&gt;0,IF(A332&gt;=$B$16,$B$15,0),0)))))</f>
      </c>
      <c r="E332" s="3">
        <f>IF($B$22&lt;&gt;"Ready","",IF($B$6+69&gt;=$B$8,"",IF(A332&lt;$B$7,0,12*$B$12)))</f>
      </c>
      <c r="F332" s="3">
        <f>IF($B$22&lt;&gt;"Ready","",IF($B$6+69&gt;=$B$8,"",MAX(0,E332-D332)))</f>
      </c>
      <c r="G332" s="3">
        <f>IF($B$22&lt;&gt;"Ready","",IF($B$6+69&gt;=$B$8,"",MAX(0,B332*(1+$B$29)+C332-F332)))</f>
      </c>
      <c r="H332" s="3">
        <f>IF($B$22&lt;&gt;"Ready","",IF($B$6+69&gt;=$B$8,"",ROUND(IF(ABS((MAX(0,F332-(B332*(1+$B$29)+C332))*100)-(INT(MAX(0,F332-(B332*(1+$B$29)+C332))*100)+0.5))&lt;=MIN(0.0000001,4*2.220446049250313E-16*MAX(1,ABS(F332),ABS(B332*(1+$B$29)+C332))*100),(INT(MAX(0,F332-(B332*(1+$B$29)+C332))*100)+0.5),MAX(0,F332-(B332*(1+$B$29)+C332))*100),0)/100))</f>
      </c>
      <c r="I332" s="0">
        <f>IF($B$22&lt;&gt;"Ready","",IF($B$6+69&gt;=$B$8,"",IF(I331&lt;&gt;"",I331,IF(H332&gt;0,A332+1,""))))</f>
      </c>
    </row>
    <row r="333" ht="15" customHeight="1">
      <c r="A333" s="0">
        <f>IF($B$22&lt;&gt;"Ready","",IF($B$6+70&gt;=$B$8,"",$B$6+70))</f>
      </c>
      <c r="B333" s="3">
        <f>IF($B$22&lt;&gt;"Ready","",IF($B$6+70&gt;=$B$8,"",G332))</f>
      </c>
      <c r="C333" s="3">
        <f>IF($B$22&lt;&gt;"Ready","",IF($B$6+70&gt;=$B$8,"",IF(A333&lt;$B$7,12*($B$10+$B$11),0)))</f>
      </c>
      <c r="D333" s="3">
        <f>IF($B$22&lt;&gt;"Ready","",IF($B$6+70&gt;=$B$8,"",IF(A333&lt;$B$7,0,12*(IF($B$13&gt;0,IF(A333&gt;=$B$14,$B$13,0),0)+IF($B$15&gt;0,IF(A333&gt;=$B$16,$B$15,0),0)))))</f>
      </c>
      <c r="E333" s="3">
        <f>IF($B$22&lt;&gt;"Ready","",IF($B$6+70&gt;=$B$8,"",IF(A333&lt;$B$7,0,12*$B$12)))</f>
      </c>
      <c r="F333" s="3">
        <f>IF($B$22&lt;&gt;"Ready","",IF($B$6+70&gt;=$B$8,"",MAX(0,E333-D333)))</f>
      </c>
      <c r="G333" s="3">
        <f>IF($B$22&lt;&gt;"Ready","",IF($B$6+70&gt;=$B$8,"",MAX(0,B333*(1+$B$29)+C333-F333)))</f>
      </c>
      <c r="H333" s="3">
        <f>IF($B$22&lt;&gt;"Ready","",IF($B$6+70&gt;=$B$8,"",ROUND(IF(ABS((MAX(0,F333-(B333*(1+$B$29)+C333))*100)-(INT(MAX(0,F333-(B333*(1+$B$29)+C333))*100)+0.5))&lt;=MIN(0.0000001,4*2.220446049250313E-16*MAX(1,ABS(F333),ABS(B333*(1+$B$29)+C333))*100),(INT(MAX(0,F333-(B333*(1+$B$29)+C333))*100)+0.5),MAX(0,F333-(B333*(1+$B$29)+C333))*100),0)/100))</f>
      </c>
      <c r="I333" s="0">
        <f>IF($B$22&lt;&gt;"Ready","",IF($B$6+70&gt;=$B$8,"",IF(I332&lt;&gt;"",I332,IF(H333&gt;0,A333+1,""))))</f>
      </c>
    </row>
    <row r="334" ht="15" customHeight="1">
      <c r="A334" s="0">
        <f>IF($B$22&lt;&gt;"Ready","",IF($B$6+71&gt;=$B$8,"",$B$6+71))</f>
      </c>
      <c r="B334" s="3">
        <f>IF($B$22&lt;&gt;"Ready","",IF($B$6+71&gt;=$B$8,"",G333))</f>
      </c>
      <c r="C334" s="3">
        <f>IF($B$22&lt;&gt;"Ready","",IF($B$6+71&gt;=$B$8,"",IF(A334&lt;$B$7,12*($B$10+$B$11),0)))</f>
      </c>
      <c r="D334" s="3">
        <f>IF($B$22&lt;&gt;"Ready","",IF($B$6+71&gt;=$B$8,"",IF(A334&lt;$B$7,0,12*(IF($B$13&gt;0,IF(A334&gt;=$B$14,$B$13,0),0)+IF($B$15&gt;0,IF(A334&gt;=$B$16,$B$15,0),0)))))</f>
      </c>
      <c r="E334" s="3">
        <f>IF($B$22&lt;&gt;"Ready","",IF($B$6+71&gt;=$B$8,"",IF(A334&lt;$B$7,0,12*$B$12)))</f>
      </c>
      <c r="F334" s="3">
        <f>IF($B$22&lt;&gt;"Ready","",IF($B$6+71&gt;=$B$8,"",MAX(0,E334-D334)))</f>
      </c>
      <c r="G334" s="3">
        <f>IF($B$22&lt;&gt;"Ready","",IF($B$6+71&gt;=$B$8,"",MAX(0,B334*(1+$B$29)+C334-F334)))</f>
      </c>
      <c r="H334" s="3">
        <f>IF($B$22&lt;&gt;"Ready","",IF($B$6+71&gt;=$B$8,"",ROUND(IF(ABS((MAX(0,F334-(B334*(1+$B$29)+C334))*100)-(INT(MAX(0,F334-(B334*(1+$B$29)+C334))*100)+0.5))&lt;=MIN(0.0000001,4*2.220446049250313E-16*MAX(1,ABS(F334),ABS(B334*(1+$B$29)+C334))*100),(INT(MAX(0,F334-(B334*(1+$B$29)+C334))*100)+0.5),MAX(0,F334-(B334*(1+$B$29)+C334))*100),0)/100))</f>
      </c>
      <c r="I334" s="0">
        <f>IF($B$22&lt;&gt;"Ready","",IF($B$6+71&gt;=$B$8,"",IF(I333&lt;&gt;"",I333,IF(H334&gt;0,A334+1,""))))</f>
      </c>
    </row>
    <row r="335" ht="15" customHeight="1">
      <c r="A335" s="0">
        <f>IF($B$22&lt;&gt;"Ready","",IF($B$6+72&gt;=$B$8,"",$B$6+72))</f>
      </c>
      <c r="B335" s="3">
        <f>IF($B$22&lt;&gt;"Ready","",IF($B$6+72&gt;=$B$8,"",G334))</f>
      </c>
      <c r="C335" s="3">
        <f>IF($B$22&lt;&gt;"Ready","",IF($B$6+72&gt;=$B$8,"",IF(A335&lt;$B$7,12*($B$10+$B$11),0)))</f>
      </c>
      <c r="D335" s="3">
        <f>IF($B$22&lt;&gt;"Ready","",IF($B$6+72&gt;=$B$8,"",IF(A335&lt;$B$7,0,12*(IF($B$13&gt;0,IF(A335&gt;=$B$14,$B$13,0),0)+IF($B$15&gt;0,IF(A335&gt;=$B$16,$B$15,0),0)))))</f>
      </c>
      <c r="E335" s="3">
        <f>IF($B$22&lt;&gt;"Ready","",IF($B$6+72&gt;=$B$8,"",IF(A335&lt;$B$7,0,12*$B$12)))</f>
      </c>
      <c r="F335" s="3">
        <f>IF($B$22&lt;&gt;"Ready","",IF($B$6+72&gt;=$B$8,"",MAX(0,E335-D335)))</f>
      </c>
      <c r="G335" s="3">
        <f>IF($B$22&lt;&gt;"Ready","",IF($B$6+72&gt;=$B$8,"",MAX(0,B335*(1+$B$29)+C335-F335)))</f>
      </c>
      <c r="H335" s="3">
        <f>IF($B$22&lt;&gt;"Ready","",IF($B$6+72&gt;=$B$8,"",ROUND(IF(ABS((MAX(0,F335-(B335*(1+$B$29)+C335))*100)-(INT(MAX(0,F335-(B335*(1+$B$29)+C335))*100)+0.5))&lt;=MIN(0.0000001,4*2.220446049250313E-16*MAX(1,ABS(F335),ABS(B335*(1+$B$29)+C335))*100),(INT(MAX(0,F335-(B335*(1+$B$29)+C335))*100)+0.5),MAX(0,F335-(B335*(1+$B$29)+C335))*100),0)/100))</f>
      </c>
      <c r="I335" s="0">
        <f>IF($B$22&lt;&gt;"Ready","",IF($B$6+72&gt;=$B$8,"",IF(I334&lt;&gt;"",I334,IF(H335&gt;0,A335+1,""))))</f>
      </c>
    </row>
    <row r="336" ht="15" customHeight="1">
      <c r="A336" s="0">
        <f>IF($B$22&lt;&gt;"Ready","",IF($B$6+73&gt;=$B$8,"",$B$6+73))</f>
      </c>
      <c r="B336" s="3">
        <f>IF($B$22&lt;&gt;"Ready","",IF($B$6+73&gt;=$B$8,"",G335))</f>
      </c>
      <c r="C336" s="3">
        <f>IF($B$22&lt;&gt;"Ready","",IF($B$6+73&gt;=$B$8,"",IF(A336&lt;$B$7,12*($B$10+$B$11),0)))</f>
      </c>
      <c r="D336" s="3">
        <f>IF($B$22&lt;&gt;"Ready","",IF($B$6+73&gt;=$B$8,"",IF(A336&lt;$B$7,0,12*(IF($B$13&gt;0,IF(A336&gt;=$B$14,$B$13,0),0)+IF($B$15&gt;0,IF(A336&gt;=$B$16,$B$15,0),0)))))</f>
      </c>
      <c r="E336" s="3">
        <f>IF($B$22&lt;&gt;"Ready","",IF($B$6+73&gt;=$B$8,"",IF(A336&lt;$B$7,0,12*$B$12)))</f>
      </c>
      <c r="F336" s="3">
        <f>IF($B$22&lt;&gt;"Ready","",IF($B$6+73&gt;=$B$8,"",MAX(0,E336-D336)))</f>
      </c>
      <c r="G336" s="3">
        <f>IF($B$22&lt;&gt;"Ready","",IF($B$6+73&gt;=$B$8,"",MAX(0,B336*(1+$B$29)+C336-F336)))</f>
      </c>
      <c r="H336" s="3">
        <f>IF($B$22&lt;&gt;"Ready","",IF($B$6+73&gt;=$B$8,"",ROUND(IF(ABS((MAX(0,F336-(B336*(1+$B$29)+C336))*100)-(INT(MAX(0,F336-(B336*(1+$B$29)+C336))*100)+0.5))&lt;=MIN(0.0000001,4*2.220446049250313E-16*MAX(1,ABS(F336),ABS(B336*(1+$B$29)+C336))*100),(INT(MAX(0,F336-(B336*(1+$B$29)+C336))*100)+0.5),MAX(0,F336-(B336*(1+$B$29)+C336))*100),0)/100))</f>
      </c>
      <c r="I336" s="0">
        <f>IF($B$22&lt;&gt;"Ready","",IF($B$6+73&gt;=$B$8,"",IF(I335&lt;&gt;"",I335,IF(H336&gt;0,A336+1,""))))</f>
      </c>
    </row>
    <row r="337" ht="15" customHeight="1">
      <c r="A337" s="0">
        <f>IF($B$22&lt;&gt;"Ready","",IF($B$6+74&gt;=$B$8,"",$B$6+74))</f>
      </c>
      <c r="B337" s="3">
        <f>IF($B$22&lt;&gt;"Ready","",IF($B$6+74&gt;=$B$8,"",G336))</f>
      </c>
      <c r="C337" s="3">
        <f>IF($B$22&lt;&gt;"Ready","",IF($B$6+74&gt;=$B$8,"",IF(A337&lt;$B$7,12*($B$10+$B$11),0)))</f>
      </c>
      <c r="D337" s="3">
        <f>IF($B$22&lt;&gt;"Ready","",IF($B$6+74&gt;=$B$8,"",IF(A337&lt;$B$7,0,12*(IF($B$13&gt;0,IF(A337&gt;=$B$14,$B$13,0),0)+IF($B$15&gt;0,IF(A337&gt;=$B$16,$B$15,0),0)))))</f>
      </c>
      <c r="E337" s="3">
        <f>IF($B$22&lt;&gt;"Ready","",IF($B$6+74&gt;=$B$8,"",IF(A337&lt;$B$7,0,12*$B$12)))</f>
      </c>
      <c r="F337" s="3">
        <f>IF($B$22&lt;&gt;"Ready","",IF($B$6+74&gt;=$B$8,"",MAX(0,E337-D337)))</f>
      </c>
      <c r="G337" s="3">
        <f>IF($B$22&lt;&gt;"Ready","",IF($B$6+74&gt;=$B$8,"",MAX(0,B337*(1+$B$29)+C337-F337)))</f>
      </c>
      <c r="H337" s="3">
        <f>IF($B$22&lt;&gt;"Ready","",IF($B$6+74&gt;=$B$8,"",ROUND(IF(ABS((MAX(0,F337-(B337*(1+$B$29)+C337))*100)-(INT(MAX(0,F337-(B337*(1+$B$29)+C337))*100)+0.5))&lt;=MIN(0.0000001,4*2.220446049250313E-16*MAX(1,ABS(F337),ABS(B337*(1+$B$29)+C337))*100),(INT(MAX(0,F337-(B337*(1+$B$29)+C337))*100)+0.5),MAX(0,F337-(B337*(1+$B$29)+C337))*100),0)/100))</f>
      </c>
      <c r="I337" s="0">
        <f>IF($B$22&lt;&gt;"Ready","",IF($B$6+74&gt;=$B$8,"",IF(I336&lt;&gt;"",I336,IF(H337&gt;0,A337+1,""))))</f>
      </c>
    </row>
    <row r="338" ht="15" customHeight="1">
      <c r="A338" s="0">
        <f>IF($B$22&lt;&gt;"Ready","",IF($B$6+75&gt;=$B$8,"",$B$6+75))</f>
      </c>
      <c r="B338" s="3">
        <f>IF($B$22&lt;&gt;"Ready","",IF($B$6+75&gt;=$B$8,"",G337))</f>
      </c>
      <c r="C338" s="3">
        <f>IF($B$22&lt;&gt;"Ready","",IF($B$6+75&gt;=$B$8,"",IF(A338&lt;$B$7,12*($B$10+$B$11),0)))</f>
      </c>
      <c r="D338" s="3">
        <f>IF($B$22&lt;&gt;"Ready","",IF($B$6+75&gt;=$B$8,"",IF(A338&lt;$B$7,0,12*(IF($B$13&gt;0,IF(A338&gt;=$B$14,$B$13,0),0)+IF($B$15&gt;0,IF(A338&gt;=$B$16,$B$15,0),0)))))</f>
      </c>
      <c r="E338" s="3">
        <f>IF($B$22&lt;&gt;"Ready","",IF($B$6+75&gt;=$B$8,"",IF(A338&lt;$B$7,0,12*$B$12)))</f>
      </c>
      <c r="F338" s="3">
        <f>IF($B$22&lt;&gt;"Ready","",IF($B$6+75&gt;=$B$8,"",MAX(0,E338-D338)))</f>
      </c>
      <c r="G338" s="3">
        <f>IF($B$22&lt;&gt;"Ready","",IF($B$6+75&gt;=$B$8,"",MAX(0,B338*(1+$B$29)+C338-F338)))</f>
      </c>
      <c r="H338" s="3">
        <f>IF($B$22&lt;&gt;"Ready","",IF($B$6+75&gt;=$B$8,"",ROUND(IF(ABS((MAX(0,F338-(B338*(1+$B$29)+C338))*100)-(INT(MAX(0,F338-(B338*(1+$B$29)+C338))*100)+0.5))&lt;=MIN(0.0000001,4*2.220446049250313E-16*MAX(1,ABS(F338),ABS(B338*(1+$B$29)+C338))*100),(INT(MAX(0,F338-(B338*(1+$B$29)+C338))*100)+0.5),MAX(0,F338-(B338*(1+$B$29)+C338))*100),0)/100))</f>
      </c>
      <c r="I338" s="0">
        <f>IF($B$22&lt;&gt;"Ready","",IF($B$6+75&gt;=$B$8,"",IF(I337&lt;&gt;"",I337,IF(H338&gt;0,A338+1,""))))</f>
      </c>
    </row>
    <row r="339" ht="15" customHeight="1">
      <c r="A339" s="0">
        <f>IF($B$22&lt;&gt;"Ready","",IF($B$6+76&gt;=$B$8,"",$B$6+76))</f>
      </c>
      <c r="B339" s="3">
        <f>IF($B$22&lt;&gt;"Ready","",IF($B$6+76&gt;=$B$8,"",G338))</f>
      </c>
      <c r="C339" s="3">
        <f>IF($B$22&lt;&gt;"Ready","",IF($B$6+76&gt;=$B$8,"",IF(A339&lt;$B$7,12*($B$10+$B$11),0)))</f>
      </c>
      <c r="D339" s="3">
        <f>IF($B$22&lt;&gt;"Ready","",IF($B$6+76&gt;=$B$8,"",IF(A339&lt;$B$7,0,12*(IF($B$13&gt;0,IF(A339&gt;=$B$14,$B$13,0),0)+IF($B$15&gt;0,IF(A339&gt;=$B$16,$B$15,0),0)))))</f>
      </c>
      <c r="E339" s="3">
        <f>IF($B$22&lt;&gt;"Ready","",IF($B$6+76&gt;=$B$8,"",IF(A339&lt;$B$7,0,12*$B$12)))</f>
      </c>
      <c r="F339" s="3">
        <f>IF($B$22&lt;&gt;"Ready","",IF($B$6+76&gt;=$B$8,"",MAX(0,E339-D339)))</f>
      </c>
      <c r="G339" s="3">
        <f>IF($B$22&lt;&gt;"Ready","",IF($B$6+76&gt;=$B$8,"",MAX(0,B339*(1+$B$29)+C339-F339)))</f>
      </c>
      <c r="H339" s="3">
        <f>IF($B$22&lt;&gt;"Ready","",IF($B$6+76&gt;=$B$8,"",ROUND(IF(ABS((MAX(0,F339-(B339*(1+$B$29)+C339))*100)-(INT(MAX(0,F339-(B339*(1+$B$29)+C339))*100)+0.5))&lt;=MIN(0.0000001,4*2.220446049250313E-16*MAX(1,ABS(F339),ABS(B339*(1+$B$29)+C339))*100),(INT(MAX(0,F339-(B339*(1+$B$29)+C339))*100)+0.5),MAX(0,F339-(B339*(1+$B$29)+C339))*100),0)/100))</f>
      </c>
      <c r="I339" s="0">
        <f>IF($B$22&lt;&gt;"Ready","",IF($B$6+76&gt;=$B$8,"",IF(I338&lt;&gt;"",I338,IF(H339&gt;0,A339+1,""))))</f>
      </c>
    </row>
    <row r="340" ht="15" customHeight="1">
      <c r="A340" s="0">
        <f>IF($B$22&lt;&gt;"Ready","",IF($B$6+77&gt;=$B$8,"",$B$6+77))</f>
      </c>
      <c r="B340" s="3">
        <f>IF($B$22&lt;&gt;"Ready","",IF($B$6+77&gt;=$B$8,"",G339))</f>
      </c>
      <c r="C340" s="3">
        <f>IF($B$22&lt;&gt;"Ready","",IF($B$6+77&gt;=$B$8,"",IF(A340&lt;$B$7,12*($B$10+$B$11),0)))</f>
      </c>
      <c r="D340" s="3">
        <f>IF($B$22&lt;&gt;"Ready","",IF($B$6+77&gt;=$B$8,"",IF(A340&lt;$B$7,0,12*(IF($B$13&gt;0,IF(A340&gt;=$B$14,$B$13,0),0)+IF($B$15&gt;0,IF(A340&gt;=$B$16,$B$15,0),0)))))</f>
      </c>
      <c r="E340" s="3">
        <f>IF($B$22&lt;&gt;"Ready","",IF($B$6+77&gt;=$B$8,"",IF(A340&lt;$B$7,0,12*$B$12)))</f>
      </c>
      <c r="F340" s="3">
        <f>IF($B$22&lt;&gt;"Ready","",IF($B$6+77&gt;=$B$8,"",MAX(0,E340-D340)))</f>
      </c>
      <c r="G340" s="3">
        <f>IF($B$22&lt;&gt;"Ready","",IF($B$6+77&gt;=$B$8,"",MAX(0,B340*(1+$B$29)+C340-F340)))</f>
      </c>
      <c r="H340" s="3">
        <f>IF($B$22&lt;&gt;"Ready","",IF($B$6+77&gt;=$B$8,"",ROUND(IF(ABS((MAX(0,F340-(B340*(1+$B$29)+C340))*100)-(INT(MAX(0,F340-(B340*(1+$B$29)+C340))*100)+0.5))&lt;=MIN(0.0000001,4*2.220446049250313E-16*MAX(1,ABS(F340),ABS(B340*(1+$B$29)+C340))*100),(INT(MAX(0,F340-(B340*(1+$B$29)+C340))*100)+0.5),MAX(0,F340-(B340*(1+$B$29)+C340))*100),0)/100))</f>
      </c>
      <c r="I340" s="0">
        <f>IF($B$22&lt;&gt;"Ready","",IF($B$6+77&gt;=$B$8,"",IF(I339&lt;&gt;"",I339,IF(H340&gt;0,A340+1,""))))</f>
      </c>
    </row>
    <row r="341" ht="15" customHeight="1">
      <c r="A341" s="0">
        <f>IF($B$22&lt;&gt;"Ready","",IF($B$6+78&gt;=$B$8,"",$B$6+78))</f>
      </c>
      <c r="B341" s="3">
        <f>IF($B$22&lt;&gt;"Ready","",IF($B$6+78&gt;=$B$8,"",G340))</f>
      </c>
      <c r="C341" s="3">
        <f>IF($B$22&lt;&gt;"Ready","",IF($B$6+78&gt;=$B$8,"",IF(A341&lt;$B$7,12*($B$10+$B$11),0)))</f>
      </c>
      <c r="D341" s="3">
        <f>IF($B$22&lt;&gt;"Ready","",IF($B$6+78&gt;=$B$8,"",IF(A341&lt;$B$7,0,12*(IF($B$13&gt;0,IF(A341&gt;=$B$14,$B$13,0),0)+IF($B$15&gt;0,IF(A341&gt;=$B$16,$B$15,0),0)))))</f>
      </c>
      <c r="E341" s="3">
        <f>IF($B$22&lt;&gt;"Ready","",IF($B$6+78&gt;=$B$8,"",IF(A341&lt;$B$7,0,12*$B$12)))</f>
      </c>
      <c r="F341" s="3">
        <f>IF($B$22&lt;&gt;"Ready","",IF($B$6+78&gt;=$B$8,"",MAX(0,E341-D341)))</f>
      </c>
      <c r="G341" s="3">
        <f>IF($B$22&lt;&gt;"Ready","",IF($B$6+78&gt;=$B$8,"",MAX(0,B341*(1+$B$29)+C341-F341)))</f>
      </c>
      <c r="H341" s="3">
        <f>IF($B$22&lt;&gt;"Ready","",IF($B$6+78&gt;=$B$8,"",ROUND(IF(ABS((MAX(0,F341-(B341*(1+$B$29)+C341))*100)-(INT(MAX(0,F341-(B341*(1+$B$29)+C341))*100)+0.5))&lt;=MIN(0.0000001,4*2.220446049250313E-16*MAX(1,ABS(F341),ABS(B341*(1+$B$29)+C341))*100),(INT(MAX(0,F341-(B341*(1+$B$29)+C341))*100)+0.5),MAX(0,F341-(B341*(1+$B$29)+C341))*100),0)/100))</f>
      </c>
      <c r="I341" s="0">
        <f>IF($B$22&lt;&gt;"Ready","",IF($B$6+78&gt;=$B$8,"",IF(I340&lt;&gt;"",I340,IF(H341&gt;0,A341+1,""))))</f>
      </c>
    </row>
    <row r="342" ht="15" customHeight="1">
      <c r="A342" s="0">
        <f>IF($B$22&lt;&gt;"Ready","",IF($B$6+79&gt;=$B$8,"",$B$6+79))</f>
      </c>
      <c r="B342" s="3">
        <f>IF($B$22&lt;&gt;"Ready","",IF($B$6+79&gt;=$B$8,"",G341))</f>
      </c>
      <c r="C342" s="3">
        <f>IF($B$22&lt;&gt;"Ready","",IF($B$6+79&gt;=$B$8,"",IF(A342&lt;$B$7,12*($B$10+$B$11),0)))</f>
      </c>
      <c r="D342" s="3">
        <f>IF($B$22&lt;&gt;"Ready","",IF($B$6+79&gt;=$B$8,"",IF(A342&lt;$B$7,0,12*(IF($B$13&gt;0,IF(A342&gt;=$B$14,$B$13,0),0)+IF($B$15&gt;0,IF(A342&gt;=$B$16,$B$15,0),0)))))</f>
      </c>
      <c r="E342" s="3">
        <f>IF($B$22&lt;&gt;"Ready","",IF($B$6+79&gt;=$B$8,"",IF(A342&lt;$B$7,0,12*$B$12)))</f>
      </c>
      <c r="F342" s="3">
        <f>IF($B$22&lt;&gt;"Ready","",IF($B$6+79&gt;=$B$8,"",MAX(0,E342-D342)))</f>
      </c>
      <c r="G342" s="3">
        <f>IF($B$22&lt;&gt;"Ready","",IF($B$6+79&gt;=$B$8,"",MAX(0,B342*(1+$B$29)+C342-F342)))</f>
      </c>
      <c r="H342" s="3">
        <f>IF($B$22&lt;&gt;"Ready","",IF($B$6+79&gt;=$B$8,"",ROUND(IF(ABS((MAX(0,F342-(B342*(1+$B$29)+C342))*100)-(INT(MAX(0,F342-(B342*(1+$B$29)+C342))*100)+0.5))&lt;=MIN(0.0000001,4*2.220446049250313E-16*MAX(1,ABS(F342),ABS(B342*(1+$B$29)+C342))*100),(INT(MAX(0,F342-(B342*(1+$B$29)+C342))*100)+0.5),MAX(0,F342-(B342*(1+$B$29)+C342))*100),0)/100))</f>
      </c>
      <c r="I342" s="0">
        <f>IF($B$22&lt;&gt;"Ready","",IF($B$6+79&gt;=$B$8,"",IF(I341&lt;&gt;"",I341,IF(H342&gt;0,A342+1,""))))</f>
      </c>
    </row>
    <row r="343" ht="15" customHeight="1">
      <c r="A343" s="0">
        <f>IF($B$22&lt;&gt;"Ready","",IF($B$6+80&gt;=$B$8,"",$B$6+80))</f>
      </c>
      <c r="B343" s="3">
        <f>IF($B$22&lt;&gt;"Ready","",IF($B$6+80&gt;=$B$8,"",G342))</f>
      </c>
      <c r="C343" s="3">
        <f>IF($B$22&lt;&gt;"Ready","",IF($B$6+80&gt;=$B$8,"",IF(A343&lt;$B$7,12*($B$10+$B$11),0)))</f>
      </c>
      <c r="D343" s="3">
        <f>IF($B$22&lt;&gt;"Ready","",IF($B$6+80&gt;=$B$8,"",IF(A343&lt;$B$7,0,12*(IF($B$13&gt;0,IF(A343&gt;=$B$14,$B$13,0),0)+IF($B$15&gt;0,IF(A343&gt;=$B$16,$B$15,0),0)))))</f>
      </c>
      <c r="E343" s="3">
        <f>IF($B$22&lt;&gt;"Ready","",IF($B$6+80&gt;=$B$8,"",IF(A343&lt;$B$7,0,12*$B$12)))</f>
      </c>
      <c r="F343" s="3">
        <f>IF($B$22&lt;&gt;"Ready","",IF($B$6+80&gt;=$B$8,"",MAX(0,E343-D343)))</f>
      </c>
      <c r="G343" s="3">
        <f>IF($B$22&lt;&gt;"Ready","",IF($B$6+80&gt;=$B$8,"",MAX(0,B343*(1+$B$29)+C343-F343)))</f>
      </c>
      <c r="H343" s="3">
        <f>IF($B$22&lt;&gt;"Ready","",IF($B$6+80&gt;=$B$8,"",ROUND(IF(ABS((MAX(0,F343-(B343*(1+$B$29)+C343))*100)-(INT(MAX(0,F343-(B343*(1+$B$29)+C343))*100)+0.5))&lt;=MIN(0.0000001,4*2.220446049250313E-16*MAX(1,ABS(F343),ABS(B343*(1+$B$29)+C343))*100),(INT(MAX(0,F343-(B343*(1+$B$29)+C343))*100)+0.5),MAX(0,F343-(B343*(1+$B$29)+C343))*100),0)/100))</f>
      </c>
      <c r="I343" s="0">
        <f>IF($B$22&lt;&gt;"Ready","",IF($B$6+80&gt;=$B$8,"",IF(I342&lt;&gt;"",I342,IF(H343&gt;0,A343+1,""))))</f>
      </c>
    </row>
    <row r="344" ht="15" customHeight="1">
      <c r="A344" s="0">
        <f>IF($B$22&lt;&gt;"Ready","",IF($B$6+81&gt;=$B$8,"",$B$6+81))</f>
      </c>
      <c r="B344" s="3">
        <f>IF($B$22&lt;&gt;"Ready","",IF($B$6+81&gt;=$B$8,"",G343))</f>
      </c>
      <c r="C344" s="3">
        <f>IF($B$22&lt;&gt;"Ready","",IF($B$6+81&gt;=$B$8,"",IF(A344&lt;$B$7,12*($B$10+$B$11),0)))</f>
      </c>
      <c r="D344" s="3">
        <f>IF($B$22&lt;&gt;"Ready","",IF($B$6+81&gt;=$B$8,"",IF(A344&lt;$B$7,0,12*(IF($B$13&gt;0,IF(A344&gt;=$B$14,$B$13,0),0)+IF($B$15&gt;0,IF(A344&gt;=$B$16,$B$15,0),0)))))</f>
      </c>
      <c r="E344" s="3">
        <f>IF($B$22&lt;&gt;"Ready","",IF($B$6+81&gt;=$B$8,"",IF(A344&lt;$B$7,0,12*$B$12)))</f>
      </c>
      <c r="F344" s="3">
        <f>IF($B$22&lt;&gt;"Ready","",IF($B$6+81&gt;=$B$8,"",MAX(0,E344-D344)))</f>
      </c>
      <c r="G344" s="3">
        <f>IF($B$22&lt;&gt;"Ready","",IF($B$6+81&gt;=$B$8,"",MAX(0,B344*(1+$B$29)+C344-F344)))</f>
      </c>
      <c r="H344" s="3">
        <f>IF($B$22&lt;&gt;"Ready","",IF($B$6+81&gt;=$B$8,"",ROUND(IF(ABS((MAX(0,F344-(B344*(1+$B$29)+C344))*100)-(INT(MAX(0,F344-(B344*(1+$B$29)+C344))*100)+0.5))&lt;=MIN(0.0000001,4*2.220446049250313E-16*MAX(1,ABS(F344),ABS(B344*(1+$B$29)+C344))*100),(INT(MAX(0,F344-(B344*(1+$B$29)+C344))*100)+0.5),MAX(0,F344-(B344*(1+$B$29)+C344))*100),0)/100))</f>
      </c>
      <c r="I344" s="0">
        <f>IF($B$22&lt;&gt;"Ready","",IF($B$6+81&gt;=$B$8,"",IF(I343&lt;&gt;"",I343,IF(H344&gt;0,A344+1,""))))</f>
      </c>
    </row>
    <row r="345" ht="15" customHeight="1">
      <c r="A345" s="0">
        <f>IF($B$22&lt;&gt;"Ready","",IF($B$6+82&gt;=$B$8,"",$B$6+82))</f>
      </c>
      <c r="B345" s="3">
        <f>IF($B$22&lt;&gt;"Ready","",IF($B$6+82&gt;=$B$8,"",G344))</f>
      </c>
      <c r="C345" s="3">
        <f>IF($B$22&lt;&gt;"Ready","",IF($B$6+82&gt;=$B$8,"",IF(A345&lt;$B$7,12*($B$10+$B$11),0)))</f>
      </c>
      <c r="D345" s="3">
        <f>IF($B$22&lt;&gt;"Ready","",IF($B$6+82&gt;=$B$8,"",IF(A345&lt;$B$7,0,12*(IF($B$13&gt;0,IF(A345&gt;=$B$14,$B$13,0),0)+IF($B$15&gt;0,IF(A345&gt;=$B$16,$B$15,0),0)))))</f>
      </c>
      <c r="E345" s="3">
        <f>IF($B$22&lt;&gt;"Ready","",IF($B$6+82&gt;=$B$8,"",IF(A345&lt;$B$7,0,12*$B$12)))</f>
      </c>
      <c r="F345" s="3">
        <f>IF($B$22&lt;&gt;"Ready","",IF($B$6+82&gt;=$B$8,"",MAX(0,E345-D345)))</f>
      </c>
      <c r="G345" s="3">
        <f>IF($B$22&lt;&gt;"Ready","",IF($B$6+82&gt;=$B$8,"",MAX(0,B345*(1+$B$29)+C345-F345)))</f>
      </c>
      <c r="H345" s="3">
        <f>IF($B$22&lt;&gt;"Ready","",IF($B$6+82&gt;=$B$8,"",ROUND(IF(ABS((MAX(0,F345-(B345*(1+$B$29)+C345))*100)-(INT(MAX(0,F345-(B345*(1+$B$29)+C345))*100)+0.5))&lt;=MIN(0.0000001,4*2.220446049250313E-16*MAX(1,ABS(F345),ABS(B345*(1+$B$29)+C345))*100),(INT(MAX(0,F345-(B345*(1+$B$29)+C345))*100)+0.5),MAX(0,F345-(B345*(1+$B$29)+C345))*100),0)/100))</f>
      </c>
      <c r="I345" s="0">
        <f>IF($B$22&lt;&gt;"Ready","",IF($B$6+82&gt;=$B$8,"",IF(I344&lt;&gt;"",I344,IF(H345&gt;0,A345+1,""))))</f>
      </c>
    </row>
    <row r="346" ht="15" customHeight="1">
      <c r="A346" s="0">
        <f>IF($B$22&lt;&gt;"Ready","",IF($B$6+83&gt;=$B$8,"",$B$6+83))</f>
      </c>
      <c r="B346" s="3">
        <f>IF($B$22&lt;&gt;"Ready","",IF($B$6+83&gt;=$B$8,"",G345))</f>
      </c>
      <c r="C346" s="3">
        <f>IF($B$22&lt;&gt;"Ready","",IF($B$6+83&gt;=$B$8,"",IF(A346&lt;$B$7,12*($B$10+$B$11),0)))</f>
      </c>
      <c r="D346" s="3">
        <f>IF($B$22&lt;&gt;"Ready","",IF($B$6+83&gt;=$B$8,"",IF(A346&lt;$B$7,0,12*(IF($B$13&gt;0,IF(A346&gt;=$B$14,$B$13,0),0)+IF($B$15&gt;0,IF(A346&gt;=$B$16,$B$15,0),0)))))</f>
      </c>
      <c r="E346" s="3">
        <f>IF($B$22&lt;&gt;"Ready","",IF($B$6+83&gt;=$B$8,"",IF(A346&lt;$B$7,0,12*$B$12)))</f>
      </c>
      <c r="F346" s="3">
        <f>IF($B$22&lt;&gt;"Ready","",IF($B$6+83&gt;=$B$8,"",MAX(0,E346-D346)))</f>
      </c>
      <c r="G346" s="3">
        <f>IF($B$22&lt;&gt;"Ready","",IF($B$6+83&gt;=$B$8,"",MAX(0,B346*(1+$B$29)+C346-F346)))</f>
      </c>
      <c r="H346" s="3">
        <f>IF($B$22&lt;&gt;"Ready","",IF($B$6+83&gt;=$B$8,"",ROUND(IF(ABS((MAX(0,F346-(B346*(1+$B$29)+C346))*100)-(INT(MAX(0,F346-(B346*(1+$B$29)+C346))*100)+0.5))&lt;=MIN(0.0000001,4*2.220446049250313E-16*MAX(1,ABS(F346),ABS(B346*(1+$B$29)+C346))*100),(INT(MAX(0,F346-(B346*(1+$B$29)+C346))*100)+0.5),MAX(0,F346-(B346*(1+$B$29)+C346))*100),0)/100))</f>
      </c>
      <c r="I346" s="0">
        <f>IF($B$22&lt;&gt;"Ready","",IF($B$6+83&gt;=$B$8,"",IF(I345&lt;&gt;"",I345,IF(H346&gt;0,A346+1,""))))</f>
      </c>
    </row>
    <row r="347" ht="15" customHeight="1">
      <c r="A347" s="0">
        <f>IF($B$22&lt;&gt;"Ready","",IF($B$6+84&gt;=$B$8,"",$B$6+84))</f>
      </c>
      <c r="B347" s="3">
        <f>IF($B$22&lt;&gt;"Ready","",IF($B$6+84&gt;=$B$8,"",G346))</f>
      </c>
      <c r="C347" s="3">
        <f>IF($B$22&lt;&gt;"Ready","",IF($B$6+84&gt;=$B$8,"",IF(A347&lt;$B$7,12*($B$10+$B$11),0)))</f>
      </c>
      <c r="D347" s="3">
        <f>IF($B$22&lt;&gt;"Ready","",IF($B$6+84&gt;=$B$8,"",IF(A347&lt;$B$7,0,12*(IF($B$13&gt;0,IF(A347&gt;=$B$14,$B$13,0),0)+IF($B$15&gt;0,IF(A347&gt;=$B$16,$B$15,0),0)))))</f>
      </c>
      <c r="E347" s="3">
        <f>IF($B$22&lt;&gt;"Ready","",IF($B$6+84&gt;=$B$8,"",IF(A347&lt;$B$7,0,12*$B$12)))</f>
      </c>
      <c r="F347" s="3">
        <f>IF($B$22&lt;&gt;"Ready","",IF($B$6+84&gt;=$B$8,"",MAX(0,E347-D347)))</f>
      </c>
      <c r="G347" s="3">
        <f>IF($B$22&lt;&gt;"Ready","",IF($B$6+84&gt;=$B$8,"",MAX(0,B347*(1+$B$29)+C347-F347)))</f>
      </c>
      <c r="H347" s="3">
        <f>IF($B$22&lt;&gt;"Ready","",IF($B$6+84&gt;=$B$8,"",ROUND(IF(ABS((MAX(0,F347-(B347*(1+$B$29)+C347))*100)-(INT(MAX(0,F347-(B347*(1+$B$29)+C347))*100)+0.5))&lt;=MIN(0.0000001,4*2.220446049250313E-16*MAX(1,ABS(F347),ABS(B347*(1+$B$29)+C347))*100),(INT(MAX(0,F347-(B347*(1+$B$29)+C347))*100)+0.5),MAX(0,F347-(B347*(1+$B$29)+C347))*100),0)/100))</f>
      </c>
      <c r="I347" s="0">
        <f>IF($B$22&lt;&gt;"Ready","",IF($B$6+84&gt;=$B$8,"",IF(I346&lt;&gt;"",I346,IF(H347&gt;0,A347+1,""))))</f>
      </c>
    </row>
    <row r="348" ht="15" customHeight="1">
      <c r="A348" s="0">
        <f>IF($B$22&lt;&gt;"Ready","",IF($B$6+85&gt;=$B$8,"",$B$6+85))</f>
      </c>
      <c r="B348" s="3">
        <f>IF($B$22&lt;&gt;"Ready","",IF($B$6+85&gt;=$B$8,"",G347))</f>
      </c>
      <c r="C348" s="3">
        <f>IF($B$22&lt;&gt;"Ready","",IF($B$6+85&gt;=$B$8,"",IF(A348&lt;$B$7,12*($B$10+$B$11),0)))</f>
      </c>
      <c r="D348" s="3">
        <f>IF($B$22&lt;&gt;"Ready","",IF($B$6+85&gt;=$B$8,"",IF(A348&lt;$B$7,0,12*(IF($B$13&gt;0,IF(A348&gt;=$B$14,$B$13,0),0)+IF($B$15&gt;0,IF(A348&gt;=$B$16,$B$15,0),0)))))</f>
      </c>
      <c r="E348" s="3">
        <f>IF($B$22&lt;&gt;"Ready","",IF($B$6+85&gt;=$B$8,"",IF(A348&lt;$B$7,0,12*$B$12)))</f>
      </c>
      <c r="F348" s="3">
        <f>IF($B$22&lt;&gt;"Ready","",IF($B$6+85&gt;=$B$8,"",MAX(0,E348-D348)))</f>
      </c>
      <c r="G348" s="3">
        <f>IF($B$22&lt;&gt;"Ready","",IF($B$6+85&gt;=$B$8,"",MAX(0,B348*(1+$B$29)+C348-F348)))</f>
      </c>
      <c r="H348" s="3">
        <f>IF($B$22&lt;&gt;"Ready","",IF($B$6+85&gt;=$B$8,"",ROUND(IF(ABS((MAX(0,F348-(B348*(1+$B$29)+C348))*100)-(INT(MAX(0,F348-(B348*(1+$B$29)+C348))*100)+0.5))&lt;=MIN(0.0000001,4*2.220446049250313E-16*MAX(1,ABS(F348),ABS(B348*(1+$B$29)+C348))*100),(INT(MAX(0,F348-(B348*(1+$B$29)+C348))*100)+0.5),MAX(0,F348-(B348*(1+$B$29)+C348))*100),0)/100))</f>
      </c>
      <c r="I348" s="0">
        <f>IF($B$22&lt;&gt;"Ready","",IF($B$6+85&gt;=$B$8,"",IF(I347&lt;&gt;"",I347,IF(H348&gt;0,A348+1,""))))</f>
      </c>
    </row>
    <row r="349" ht="15" customHeight="1">
      <c r="A349" s="0">
        <f>IF($B$22&lt;&gt;"Ready","",IF($B$6+86&gt;=$B$8,"",$B$6+86))</f>
      </c>
      <c r="B349" s="3">
        <f>IF($B$22&lt;&gt;"Ready","",IF($B$6+86&gt;=$B$8,"",G348))</f>
      </c>
      <c r="C349" s="3">
        <f>IF($B$22&lt;&gt;"Ready","",IF($B$6+86&gt;=$B$8,"",IF(A349&lt;$B$7,12*($B$10+$B$11),0)))</f>
      </c>
      <c r="D349" s="3">
        <f>IF($B$22&lt;&gt;"Ready","",IF($B$6+86&gt;=$B$8,"",IF(A349&lt;$B$7,0,12*(IF($B$13&gt;0,IF(A349&gt;=$B$14,$B$13,0),0)+IF($B$15&gt;0,IF(A349&gt;=$B$16,$B$15,0),0)))))</f>
      </c>
      <c r="E349" s="3">
        <f>IF($B$22&lt;&gt;"Ready","",IF($B$6+86&gt;=$B$8,"",IF(A349&lt;$B$7,0,12*$B$12)))</f>
      </c>
      <c r="F349" s="3">
        <f>IF($B$22&lt;&gt;"Ready","",IF($B$6+86&gt;=$B$8,"",MAX(0,E349-D349)))</f>
      </c>
      <c r="G349" s="3">
        <f>IF($B$22&lt;&gt;"Ready","",IF($B$6+86&gt;=$B$8,"",MAX(0,B349*(1+$B$29)+C349-F349)))</f>
      </c>
      <c r="H349" s="3">
        <f>IF($B$22&lt;&gt;"Ready","",IF($B$6+86&gt;=$B$8,"",ROUND(IF(ABS((MAX(0,F349-(B349*(1+$B$29)+C349))*100)-(INT(MAX(0,F349-(B349*(1+$B$29)+C349))*100)+0.5))&lt;=MIN(0.0000001,4*2.220446049250313E-16*MAX(1,ABS(F349),ABS(B349*(1+$B$29)+C349))*100),(INT(MAX(0,F349-(B349*(1+$B$29)+C349))*100)+0.5),MAX(0,F349-(B349*(1+$B$29)+C349))*100),0)/100))</f>
      </c>
      <c r="I349" s="0">
        <f>IF($B$22&lt;&gt;"Ready","",IF($B$6+86&gt;=$B$8,"",IF(I348&lt;&gt;"",I348,IF(H349&gt;0,A349+1,""))))</f>
      </c>
    </row>
    <row r="350" ht="15" customHeight="1">
      <c r="A350" s="0">
        <f>IF($B$22&lt;&gt;"Ready","",IF($B$6+87&gt;=$B$8,"",$B$6+87))</f>
      </c>
      <c r="B350" s="3">
        <f>IF($B$22&lt;&gt;"Ready","",IF($B$6+87&gt;=$B$8,"",G349))</f>
      </c>
      <c r="C350" s="3">
        <f>IF($B$22&lt;&gt;"Ready","",IF($B$6+87&gt;=$B$8,"",IF(A350&lt;$B$7,12*($B$10+$B$11),0)))</f>
      </c>
      <c r="D350" s="3">
        <f>IF($B$22&lt;&gt;"Ready","",IF($B$6+87&gt;=$B$8,"",IF(A350&lt;$B$7,0,12*(IF($B$13&gt;0,IF(A350&gt;=$B$14,$B$13,0),0)+IF($B$15&gt;0,IF(A350&gt;=$B$16,$B$15,0),0)))))</f>
      </c>
      <c r="E350" s="3">
        <f>IF($B$22&lt;&gt;"Ready","",IF($B$6+87&gt;=$B$8,"",IF(A350&lt;$B$7,0,12*$B$12)))</f>
      </c>
      <c r="F350" s="3">
        <f>IF($B$22&lt;&gt;"Ready","",IF($B$6+87&gt;=$B$8,"",MAX(0,E350-D350)))</f>
      </c>
      <c r="G350" s="3">
        <f>IF($B$22&lt;&gt;"Ready","",IF($B$6+87&gt;=$B$8,"",MAX(0,B350*(1+$B$29)+C350-F350)))</f>
      </c>
      <c r="H350" s="3">
        <f>IF($B$22&lt;&gt;"Ready","",IF($B$6+87&gt;=$B$8,"",ROUND(IF(ABS((MAX(0,F350-(B350*(1+$B$29)+C350))*100)-(INT(MAX(0,F350-(B350*(1+$B$29)+C350))*100)+0.5))&lt;=MIN(0.0000001,4*2.220446049250313E-16*MAX(1,ABS(F350),ABS(B350*(1+$B$29)+C350))*100),(INT(MAX(0,F350-(B350*(1+$B$29)+C350))*100)+0.5),MAX(0,F350-(B350*(1+$B$29)+C350))*100),0)/100))</f>
      </c>
      <c r="I350" s="0">
        <f>IF($B$22&lt;&gt;"Ready","",IF($B$6+87&gt;=$B$8,"",IF(I349&lt;&gt;"",I349,IF(H350&gt;0,A350+1,""))))</f>
      </c>
    </row>
    <row r="351" ht="15" customHeight="1">
      <c r="A351" s="0">
        <f>IF($B$22&lt;&gt;"Ready","",IF($B$6+88&gt;=$B$8,"",$B$6+88))</f>
      </c>
      <c r="B351" s="3">
        <f>IF($B$22&lt;&gt;"Ready","",IF($B$6+88&gt;=$B$8,"",G350))</f>
      </c>
      <c r="C351" s="3">
        <f>IF($B$22&lt;&gt;"Ready","",IF($B$6+88&gt;=$B$8,"",IF(A351&lt;$B$7,12*($B$10+$B$11),0)))</f>
      </c>
      <c r="D351" s="3">
        <f>IF($B$22&lt;&gt;"Ready","",IF($B$6+88&gt;=$B$8,"",IF(A351&lt;$B$7,0,12*(IF($B$13&gt;0,IF(A351&gt;=$B$14,$B$13,0),0)+IF($B$15&gt;0,IF(A351&gt;=$B$16,$B$15,0),0)))))</f>
      </c>
      <c r="E351" s="3">
        <f>IF($B$22&lt;&gt;"Ready","",IF($B$6+88&gt;=$B$8,"",IF(A351&lt;$B$7,0,12*$B$12)))</f>
      </c>
      <c r="F351" s="3">
        <f>IF($B$22&lt;&gt;"Ready","",IF($B$6+88&gt;=$B$8,"",MAX(0,E351-D351)))</f>
      </c>
      <c r="G351" s="3">
        <f>IF($B$22&lt;&gt;"Ready","",IF($B$6+88&gt;=$B$8,"",MAX(0,B351*(1+$B$29)+C351-F351)))</f>
      </c>
      <c r="H351" s="3">
        <f>IF($B$22&lt;&gt;"Ready","",IF($B$6+88&gt;=$B$8,"",ROUND(IF(ABS((MAX(0,F351-(B351*(1+$B$29)+C351))*100)-(INT(MAX(0,F351-(B351*(1+$B$29)+C351))*100)+0.5))&lt;=MIN(0.0000001,4*2.220446049250313E-16*MAX(1,ABS(F351),ABS(B351*(1+$B$29)+C351))*100),(INT(MAX(0,F351-(B351*(1+$B$29)+C351))*100)+0.5),MAX(0,F351-(B351*(1+$B$29)+C351))*100),0)/100))</f>
      </c>
      <c r="I351" s="0">
        <f>IF($B$22&lt;&gt;"Ready","",IF($B$6+88&gt;=$B$8,"",IF(I350&lt;&gt;"",I350,IF(H351&gt;0,A351+1,""))))</f>
      </c>
    </row>
    <row r="352" ht="15" customHeight="1">
      <c r="A352" s="0">
        <f>IF($B$22&lt;&gt;"Ready","",IF($B$6+89&gt;=$B$8,"",$B$6+89))</f>
      </c>
      <c r="B352" s="3">
        <f>IF($B$22&lt;&gt;"Ready","",IF($B$6+89&gt;=$B$8,"",G351))</f>
      </c>
      <c r="C352" s="3">
        <f>IF($B$22&lt;&gt;"Ready","",IF($B$6+89&gt;=$B$8,"",IF(A352&lt;$B$7,12*($B$10+$B$11),0)))</f>
      </c>
      <c r="D352" s="3">
        <f>IF($B$22&lt;&gt;"Ready","",IF($B$6+89&gt;=$B$8,"",IF(A352&lt;$B$7,0,12*(IF($B$13&gt;0,IF(A352&gt;=$B$14,$B$13,0),0)+IF($B$15&gt;0,IF(A352&gt;=$B$16,$B$15,0),0)))))</f>
      </c>
      <c r="E352" s="3">
        <f>IF($B$22&lt;&gt;"Ready","",IF($B$6+89&gt;=$B$8,"",IF(A352&lt;$B$7,0,12*$B$12)))</f>
      </c>
      <c r="F352" s="3">
        <f>IF($B$22&lt;&gt;"Ready","",IF($B$6+89&gt;=$B$8,"",MAX(0,E352-D352)))</f>
      </c>
      <c r="G352" s="3">
        <f>IF($B$22&lt;&gt;"Ready","",IF($B$6+89&gt;=$B$8,"",MAX(0,B352*(1+$B$29)+C352-F352)))</f>
      </c>
      <c r="H352" s="3">
        <f>IF($B$22&lt;&gt;"Ready","",IF($B$6+89&gt;=$B$8,"",ROUND(IF(ABS((MAX(0,F352-(B352*(1+$B$29)+C352))*100)-(INT(MAX(0,F352-(B352*(1+$B$29)+C352))*100)+0.5))&lt;=MIN(0.0000001,4*2.220446049250313E-16*MAX(1,ABS(F352),ABS(B352*(1+$B$29)+C352))*100),(INT(MAX(0,F352-(B352*(1+$B$29)+C352))*100)+0.5),MAX(0,F352-(B352*(1+$B$29)+C352))*100),0)/100))</f>
      </c>
      <c r="I352" s="0">
        <f>IF($B$22&lt;&gt;"Ready","",IF($B$6+89&gt;=$B$8,"",IF(I351&lt;&gt;"",I351,IF(H352&gt;0,A352+1,""))))</f>
      </c>
    </row>
    <row r="353" ht="15" customHeight="1">
      <c r="A353" s="0">
        <f>IF($B$22&lt;&gt;"Ready","",IF($B$6+90&gt;=$B$8,"",$B$6+90))</f>
      </c>
      <c r="B353" s="3">
        <f>IF($B$22&lt;&gt;"Ready","",IF($B$6+90&gt;=$B$8,"",G352))</f>
      </c>
      <c r="C353" s="3">
        <f>IF($B$22&lt;&gt;"Ready","",IF($B$6+90&gt;=$B$8,"",IF(A353&lt;$B$7,12*($B$10+$B$11),0)))</f>
      </c>
      <c r="D353" s="3">
        <f>IF($B$22&lt;&gt;"Ready","",IF($B$6+90&gt;=$B$8,"",IF(A353&lt;$B$7,0,12*(IF($B$13&gt;0,IF(A353&gt;=$B$14,$B$13,0),0)+IF($B$15&gt;0,IF(A353&gt;=$B$16,$B$15,0),0)))))</f>
      </c>
      <c r="E353" s="3">
        <f>IF($B$22&lt;&gt;"Ready","",IF($B$6+90&gt;=$B$8,"",IF(A353&lt;$B$7,0,12*$B$12)))</f>
      </c>
      <c r="F353" s="3">
        <f>IF($B$22&lt;&gt;"Ready","",IF($B$6+90&gt;=$B$8,"",MAX(0,E353-D353)))</f>
      </c>
      <c r="G353" s="3">
        <f>IF($B$22&lt;&gt;"Ready","",IF($B$6+90&gt;=$B$8,"",MAX(0,B353*(1+$B$29)+C353-F353)))</f>
      </c>
      <c r="H353" s="3">
        <f>IF($B$22&lt;&gt;"Ready","",IF($B$6+90&gt;=$B$8,"",ROUND(IF(ABS((MAX(0,F353-(B353*(1+$B$29)+C353))*100)-(INT(MAX(0,F353-(B353*(1+$B$29)+C353))*100)+0.5))&lt;=MIN(0.0000001,4*2.220446049250313E-16*MAX(1,ABS(F353),ABS(B353*(1+$B$29)+C353))*100),(INT(MAX(0,F353-(B353*(1+$B$29)+C353))*100)+0.5),MAX(0,F353-(B353*(1+$B$29)+C353))*100),0)/100))</f>
      </c>
      <c r="I353" s="0">
        <f>IF($B$22&lt;&gt;"Ready","",IF($B$6+90&gt;=$B$8,"",IF(I352&lt;&gt;"",I352,IF(H353&gt;0,A353+1,""))))</f>
      </c>
    </row>
    <row r="354" ht="15" customHeight="1">
      <c r="A354" s="0">
        <f>IF($B$22&lt;&gt;"Ready","",IF($B$6+91&gt;=$B$8,"",$B$6+91))</f>
      </c>
      <c r="B354" s="3">
        <f>IF($B$22&lt;&gt;"Ready","",IF($B$6+91&gt;=$B$8,"",G353))</f>
      </c>
      <c r="C354" s="3">
        <f>IF($B$22&lt;&gt;"Ready","",IF($B$6+91&gt;=$B$8,"",IF(A354&lt;$B$7,12*($B$10+$B$11),0)))</f>
      </c>
      <c r="D354" s="3">
        <f>IF($B$22&lt;&gt;"Ready","",IF($B$6+91&gt;=$B$8,"",IF(A354&lt;$B$7,0,12*(IF($B$13&gt;0,IF(A354&gt;=$B$14,$B$13,0),0)+IF($B$15&gt;0,IF(A354&gt;=$B$16,$B$15,0),0)))))</f>
      </c>
      <c r="E354" s="3">
        <f>IF($B$22&lt;&gt;"Ready","",IF($B$6+91&gt;=$B$8,"",IF(A354&lt;$B$7,0,12*$B$12)))</f>
      </c>
      <c r="F354" s="3">
        <f>IF($B$22&lt;&gt;"Ready","",IF($B$6+91&gt;=$B$8,"",MAX(0,E354-D354)))</f>
      </c>
      <c r="G354" s="3">
        <f>IF($B$22&lt;&gt;"Ready","",IF($B$6+91&gt;=$B$8,"",MAX(0,B354*(1+$B$29)+C354-F354)))</f>
      </c>
      <c r="H354" s="3">
        <f>IF($B$22&lt;&gt;"Ready","",IF($B$6+91&gt;=$B$8,"",ROUND(IF(ABS((MAX(0,F354-(B354*(1+$B$29)+C354))*100)-(INT(MAX(0,F354-(B354*(1+$B$29)+C354))*100)+0.5))&lt;=MIN(0.0000001,4*2.220446049250313E-16*MAX(1,ABS(F354),ABS(B354*(1+$B$29)+C354))*100),(INT(MAX(0,F354-(B354*(1+$B$29)+C354))*100)+0.5),MAX(0,F354-(B354*(1+$B$29)+C354))*100),0)/100))</f>
      </c>
      <c r="I354" s="0">
        <f>IF($B$22&lt;&gt;"Ready","",IF($B$6+91&gt;=$B$8,"",IF(I353&lt;&gt;"",I353,IF(H354&gt;0,A354+1,""))))</f>
      </c>
    </row>
    <row r="355" ht="15" customHeight="1">
      <c r="A355" s="0">
        <f>IF($B$22&lt;&gt;"Ready","",IF($B$6+92&gt;=$B$8,"",$B$6+92))</f>
      </c>
      <c r="B355" s="3">
        <f>IF($B$22&lt;&gt;"Ready","",IF($B$6+92&gt;=$B$8,"",G354))</f>
      </c>
      <c r="C355" s="3">
        <f>IF($B$22&lt;&gt;"Ready","",IF($B$6+92&gt;=$B$8,"",IF(A355&lt;$B$7,12*($B$10+$B$11),0)))</f>
      </c>
      <c r="D355" s="3">
        <f>IF($B$22&lt;&gt;"Ready","",IF($B$6+92&gt;=$B$8,"",IF(A355&lt;$B$7,0,12*(IF($B$13&gt;0,IF(A355&gt;=$B$14,$B$13,0),0)+IF($B$15&gt;0,IF(A355&gt;=$B$16,$B$15,0),0)))))</f>
      </c>
      <c r="E355" s="3">
        <f>IF($B$22&lt;&gt;"Ready","",IF($B$6+92&gt;=$B$8,"",IF(A355&lt;$B$7,0,12*$B$12)))</f>
      </c>
      <c r="F355" s="3">
        <f>IF($B$22&lt;&gt;"Ready","",IF($B$6+92&gt;=$B$8,"",MAX(0,E355-D355)))</f>
      </c>
      <c r="G355" s="3">
        <f>IF($B$22&lt;&gt;"Ready","",IF($B$6+92&gt;=$B$8,"",MAX(0,B355*(1+$B$29)+C355-F355)))</f>
      </c>
      <c r="H355" s="3">
        <f>IF($B$22&lt;&gt;"Ready","",IF($B$6+92&gt;=$B$8,"",ROUND(IF(ABS((MAX(0,F355-(B355*(1+$B$29)+C355))*100)-(INT(MAX(0,F355-(B355*(1+$B$29)+C355))*100)+0.5))&lt;=MIN(0.0000001,4*2.220446049250313E-16*MAX(1,ABS(F355),ABS(B355*(1+$B$29)+C355))*100),(INT(MAX(0,F355-(B355*(1+$B$29)+C355))*100)+0.5),MAX(0,F355-(B355*(1+$B$29)+C355))*100),0)/100))</f>
      </c>
      <c r="I355" s="0">
        <f>IF($B$22&lt;&gt;"Ready","",IF($B$6+92&gt;=$B$8,"",IF(I354&lt;&gt;"",I354,IF(H355&gt;0,A355+1,""))))</f>
      </c>
    </row>
    <row r="356" ht="15" customHeight="1">
      <c r="A356" s="0">
        <f>IF($B$22&lt;&gt;"Ready","",IF($B$6+93&gt;=$B$8,"",$B$6+93))</f>
      </c>
      <c r="B356" s="3">
        <f>IF($B$22&lt;&gt;"Ready","",IF($B$6+93&gt;=$B$8,"",G355))</f>
      </c>
      <c r="C356" s="3">
        <f>IF($B$22&lt;&gt;"Ready","",IF($B$6+93&gt;=$B$8,"",IF(A356&lt;$B$7,12*($B$10+$B$11),0)))</f>
      </c>
      <c r="D356" s="3">
        <f>IF($B$22&lt;&gt;"Ready","",IF($B$6+93&gt;=$B$8,"",IF(A356&lt;$B$7,0,12*(IF($B$13&gt;0,IF(A356&gt;=$B$14,$B$13,0),0)+IF($B$15&gt;0,IF(A356&gt;=$B$16,$B$15,0),0)))))</f>
      </c>
      <c r="E356" s="3">
        <f>IF($B$22&lt;&gt;"Ready","",IF($B$6+93&gt;=$B$8,"",IF(A356&lt;$B$7,0,12*$B$12)))</f>
      </c>
      <c r="F356" s="3">
        <f>IF($B$22&lt;&gt;"Ready","",IF($B$6+93&gt;=$B$8,"",MAX(0,E356-D356)))</f>
      </c>
      <c r="G356" s="3">
        <f>IF($B$22&lt;&gt;"Ready","",IF($B$6+93&gt;=$B$8,"",MAX(0,B356*(1+$B$29)+C356-F356)))</f>
      </c>
      <c r="H356" s="3">
        <f>IF($B$22&lt;&gt;"Ready","",IF($B$6+93&gt;=$B$8,"",ROUND(IF(ABS((MAX(0,F356-(B356*(1+$B$29)+C356))*100)-(INT(MAX(0,F356-(B356*(1+$B$29)+C356))*100)+0.5))&lt;=MIN(0.0000001,4*2.220446049250313E-16*MAX(1,ABS(F356),ABS(B356*(1+$B$29)+C356))*100),(INT(MAX(0,F356-(B356*(1+$B$29)+C356))*100)+0.5),MAX(0,F356-(B356*(1+$B$29)+C356))*100),0)/100))</f>
      </c>
      <c r="I356" s="0">
        <f>IF($B$22&lt;&gt;"Ready","",IF($B$6+93&gt;=$B$8,"",IF(I355&lt;&gt;"",I355,IF(H356&gt;0,A356+1,""))))</f>
      </c>
    </row>
    <row r="357" ht="15" customHeight="1">
      <c r="A357" s="0">
        <f>IF($B$22&lt;&gt;"Ready","",IF($B$6+94&gt;=$B$8,"",$B$6+94))</f>
      </c>
      <c r="B357" s="3">
        <f>IF($B$22&lt;&gt;"Ready","",IF($B$6+94&gt;=$B$8,"",G356))</f>
      </c>
      <c r="C357" s="3">
        <f>IF($B$22&lt;&gt;"Ready","",IF($B$6+94&gt;=$B$8,"",IF(A357&lt;$B$7,12*($B$10+$B$11),0)))</f>
      </c>
      <c r="D357" s="3">
        <f>IF($B$22&lt;&gt;"Ready","",IF($B$6+94&gt;=$B$8,"",IF(A357&lt;$B$7,0,12*(IF($B$13&gt;0,IF(A357&gt;=$B$14,$B$13,0),0)+IF($B$15&gt;0,IF(A357&gt;=$B$16,$B$15,0),0)))))</f>
      </c>
      <c r="E357" s="3">
        <f>IF($B$22&lt;&gt;"Ready","",IF($B$6+94&gt;=$B$8,"",IF(A357&lt;$B$7,0,12*$B$12)))</f>
      </c>
      <c r="F357" s="3">
        <f>IF($B$22&lt;&gt;"Ready","",IF($B$6+94&gt;=$B$8,"",MAX(0,E357-D357)))</f>
      </c>
      <c r="G357" s="3">
        <f>IF($B$22&lt;&gt;"Ready","",IF($B$6+94&gt;=$B$8,"",MAX(0,B357*(1+$B$29)+C357-F357)))</f>
      </c>
      <c r="H357" s="3">
        <f>IF($B$22&lt;&gt;"Ready","",IF($B$6+94&gt;=$B$8,"",ROUND(IF(ABS((MAX(0,F357-(B357*(1+$B$29)+C357))*100)-(INT(MAX(0,F357-(B357*(1+$B$29)+C357))*100)+0.5))&lt;=MIN(0.0000001,4*2.220446049250313E-16*MAX(1,ABS(F357),ABS(B357*(1+$B$29)+C357))*100),(INT(MAX(0,F357-(B357*(1+$B$29)+C357))*100)+0.5),MAX(0,F357-(B357*(1+$B$29)+C357))*100),0)/100))</f>
      </c>
      <c r="I357" s="0">
        <f>IF($B$22&lt;&gt;"Ready","",IF($B$6+94&gt;=$B$8,"",IF(I356&lt;&gt;"",I356,IF(H357&gt;0,A357+1,""))))</f>
      </c>
    </row>
    <row r="358" ht="15" customHeight="1">
      <c r="A358" s="0">
        <f>IF($B$22&lt;&gt;"Ready","",IF($B$6+95&gt;=$B$8,"",$B$6+95))</f>
      </c>
      <c r="B358" s="3">
        <f>IF($B$22&lt;&gt;"Ready","",IF($B$6+95&gt;=$B$8,"",G357))</f>
      </c>
      <c r="C358" s="3">
        <f>IF($B$22&lt;&gt;"Ready","",IF($B$6+95&gt;=$B$8,"",IF(A358&lt;$B$7,12*($B$10+$B$11),0)))</f>
      </c>
      <c r="D358" s="3">
        <f>IF($B$22&lt;&gt;"Ready","",IF($B$6+95&gt;=$B$8,"",IF(A358&lt;$B$7,0,12*(IF($B$13&gt;0,IF(A358&gt;=$B$14,$B$13,0),0)+IF($B$15&gt;0,IF(A358&gt;=$B$16,$B$15,0),0)))))</f>
      </c>
      <c r="E358" s="3">
        <f>IF($B$22&lt;&gt;"Ready","",IF($B$6+95&gt;=$B$8,"",IF(A358&lt;$B$7,0,12*$B$12)))</f>
      </c>
      <c r="F358" s="3">
        <f>IF($B$22&lt;&gt;"Ready","",IF($B$6+95&gt;=$B$8,"",MAX(0,E358-D358)))</f>
      </c>
      <c r="G358" s="3">
        <f>IF($B$22&lt;&gt;"Ready","",IF($B$6+95&gt;=$B$8,"",MAX(0,B358*(1+$B$29)+C358-F358)))</f>
      </c>
      <c r="H358" s="3">
        <f>IF($B$22&lt;&gt;"Ready","",IF($B$6+95&gt;=$B$8,"",ROUND(IF(ABS((MAX(0,F358-(B358*(1+$B$29)+C358))*100)-(INT(MAX(0,F358-(B358*(1+$B$29)+C358))*100)+0.5))&lt;=MIN(0.0000001,4*2.220446049250313E-16*MAX(1,ABS(F358),ABS(B358*(1+$B$29)+C358))*100),(INT(MAX(0,F358-(B358*(1+$B$29)+C358))*100)+0.5),MAX(0,F358-(B358*(1+$B$29)+C358))*100),0)/100))</f>
      </c>
      <c r="I358" s="0">
        <f>IF($B$22&lt;&gt;"Ready","",IF($B$6+95&gt;=$B$8,"",IF(I357&lt;&gt;"",I357,IF(H358&gt;0,A358+1,""))))</f>
      </c>
    </row>
    <row r="359" ht="15" customHeight="1">
      <c r="A359" s="0">
        <f>IF($B$22&lt;&gt;"Ready","",IF($B$6+96&gt;=$B$8,"",$B$6+96))</f>
      </c>
      <c r="B359" s="3">
        <f>IF($B$22&lt;&gt;"Ready","",IF($B$6+96&gt;=$B$8,"",G358))</f>
      </c>
      <c r="C359" s="3">
        <f>IF($B$22&lt;&gt;"Ready","",IF($B$6+96&gt;=$B$8,"",IF(A359&lt;$B$7,12*($B$10+$B$11),0)))</f>
      </c>
      <c r="D359" s="3">
        <f>IF($B$22&lt;&gt;"Ready","",IF($B$6+96&gt;=$B$8,"",IF(A359&lt;$B$7,0,12*(IF($B$13&gt;0,IF(A359&gt;=$B$14,$B$13,0),0)+IF($B$15&gt;0,IF(A359&gt;=$B$16,$B$15,0),0)))))</f>
      </c>
      <c r="E359" s="3">
        <f>IF($B$22&lt;&gt;"Ready","",IF($B$6+96&gt;=$B$8,"",IF(A359&lt;$B$7,0,12*$B$12)))</f>
      </c>
      <c r="F359" s="3">
        <f>IF($B$22&lt;&gt;"Ready","",IF($B$6+96&gt;=$B$8,"",MAX(0,E359-D359)))</f>
      </c>
      <c r="G359" s="3">
        <f>IF($B$22&lt;&gt;"Ready","",IF($B$6+96&gt;=$B$8,"",MAX(0,B359*(1+$B$29)+C359-F359)))</f>
      </c>
      <c r="H359" s="3">
        <f>IF($B$22&lt;&gt;"Ready","",IF($B$6+96&gt;=$B$8,"",ROUND(IF(ABS((MAX(0,F359-(B359*(1+$B$29)+C359))*100)-(INT(MAX(0,F359-(B359*(1+$B$29)+C359))*100)+0.5))&lt;=MIN(0.0000001,4*2.220446049250313E-16*MAX(1,ABS(F359),ABS(B359*(1+$B$29)+C359))*100),(INT(MAX(0,F359-(B359*(1+$B$29)+C359))*100)+0.5),MAX(0,F359-(B359*(1+$B$29)+C359))*100),0)/100))</f>
      </c>
      <c r="I359" s="0">
        <f>IF($B$22&lt;&gt;"Ready","",IF($B$6+96&gt;=$B$8,"",IF(I358&lt;&gt;"",I358,IF(H359&gt;0,A359+1,""))))</f>
      </c>
    </row>
    <row r="360" ht="15" customHeight="1">
      <c r="A360" s="0">
        <f>IF($B$22&lt;&gt;"Ready","",IF($B$6+97&gt;=$B$8,"",$B$6+97))</f>
      </c>
      <c r="B360" s="3">
        <f>IF($B$22&lt;&gt;"Ready","",IF($B$6+97&gt;=$B$8,"",G359))</f>
      </c>
      <c r="C360" s="3">
        <f>IF($B$22&lt;&gt;"Ready","",IF($B$6+97&gt;=$B$8,"",IF(A360&lt;$B$7,12*($B$10+$B$11),0)))</f>
      </c>
      <c r="D360" s="3">
        <f>IF($B$22&lt;&gt;"Ready","",IF($B$6+97&gt;=$B$8,"",IF(A360&lt;$B$7,0,12*(IF($B$13&gt;0,IF(A360&gt;=$B$14,$B$13,0),0)+IF($B$15&gt;0,IF(A360&gt;=$B$16,$B$15,0),0)))))</f>
      </c>
      <c r="E360" s="3">
        <f>IF($B$22&lt;&gt;"Ready","",IF($B$6+97&gt;=$B$8,"",IF(A360&lt;$B$7,0,12*$B$12)))</f>
      </c>
      <c r="F360" s="3">
        <f>IF($B$22&lt;&gt;"Ready","",IF($B$6+97&gt;=$B$8,"",MAX(0,E360-D360)))</f>
      </c>
      <c r="G360" s="3">
        <f>IF($B$22&lt;&gt;"Ready","",IF($B$6+97&gt;=$B$8,"",MAX(0,B360*(1+$B$29)+C360-F360)))</f>
      </c>
      <c r="H360" s="3">
        <f>IF($B$22&lt;&gt;"Ready","",IF($B$6+97&gt;=$B$8,"",ROUND(IF(ABS((MAX(0,F360-(B360*(1+$B$29)+C360))*100)-(INT(MAX(0,F360-(B360*(1+$B$29)+C360))*100)+0.5))&lt;=MIN(0.0000001,4*2.220446049250313E-16*MAX(1,ABS(F360),ABS(B360*(1+$B$29)+C360))*100),(INT(MAX(0,F360-(B360*(1+$B$29)+C360))*100)+0.5),MAX(0,F360-(B360*(1+$B$29)+C360))*100),0)/100))</f>
      </c>
      <c r="I360" s="0">
        <f>IF($B$22&lt;&gt;"Ready","",IF($B$6+97&gt;=$B$8,"",IF(I359&lt;&gt;"",I359,IF(H360&gt;0,A360+1,""))))</f>
      </c>
    </row>
    <row r="361" ht="15" customHeight="1">
      <c r="A361" s="0">
        <f>IF($B$22&lt;&gt;"Ready","",IF($B$6+98&gt;=$B$8,"",$B$6+98))</f>
      </c>
      <c r="B361" s="3">
        <f>IF($B$22&lt;&gt;"Ready","",IF($B$6+98&gt;=$B$8,"",G360))</f>
      </c>
      <c r="C361" s="3">
        <f>IF($B$22&lt;&gt;"Ready","",IF($B$6+98&gt;=$B$8,"",IF(A361&lt;$B$7,12*($B$10+$B$11),0)))</f>
      </c>
      <c r="D361" s="3">
        <f>IF($B$22&lt;&gt;"Ready","",IF($B$6+98&gt;=$B$8,"",IF(A361&lt;$B$7,0,12*(IF($B$13&gt;0,IF(A361&gt;=$B$14,$B$13,0),0)+IF($B$15&gt;0,IF(A361&gt;=$B$16,$B$15,0),0)))))</f>
      </c>
      <c r="E361" s="3">
        <f>IF($B$22&lt;&gt;"Ready","",IF($B$6+98&gt;=$B$8,"",IF(A361&lt;$B$7,0,12*$B$12)))</f>
      </c>
      <c r="F361" s="3">
        <f>IF($B$22&lt;&gt;"Ready","",IF($B$6+98&gt;=$B$8,"",MAX(0,E361-D361)))</f>
      </c>
      <c r="G361" s="3">
        <f>IF($B$22&lt;&gt;"Ready","",IF($B$6+98&gt;=$B$8,"",MAX(0,B361*(1+$B$29)+C361-F361)))</f>
      </c>
      <c r="H361" s="3">
        <f>IF($B$22&lt;&gt;"Ready","",IF($B$6+98&gt;=$B$8,"",ROUND(IF(ABS((MAX(0,F361-(B361*(1+$B$29)+C361))*100)-(INT(MAX(0,F361-(B361*(1+$B$29)+C361))*100)+0.5))&lt;=MIN(0.0000001,4*2.220446049250313E-16*MAX(1,ABS(F361),ABS(B361*(1+$B$29)+C361))*100),(INT(MAX(0,F361-(B361*(1+$B$29)+C361))*100)+0.5),MAX(0,F361-(B361*(1+$B$29)+C361))*100),0)/100))</f>
      </c>
      <c r="I361" s="0">
        <f>IF($B$22&lt;&gt;"Ready","",IF($B$6+98&gt;=$B$8,"",IF(I360&lt;&gt;"",I360,IF(H361&gt;0,A361+1,""))))</f>
      </c>
    </row>
    <row r="362" ht="15" customHeight="1">
      <c r="A362" s="0">
        <f>IF($B$22&lt;&gt;"Ready","",IF($B$6+99&gt;=$B$8,"",$B$6+99))</f>
      </c>
      <c r="B362" s="3">
        <f>IF($B$22&lt;&gt;"Ready","",IF($B$6+99&gt;=$B$8,"",G361))</f>
      </c>
      <c r="C362" s="3">
        <f>IF($B$22&lt;&gt;"Ready","",IF($B$6+99&gt;=$B$8,"",IF(A362&lt;$B$7,12*($B$10+$B$11),0)))</f>
      </c>
      <c r="D362" s="3">
        <f>IF($B$22&lt;&gt;"Ready","",IF($B$6+99&gt;=$B$8,"",IF(A362&lt;$B$7,0,12*(IF($B$13&gt;0,IF(A362&gt;=$B$14,$B$13,0),0)+IF($B$15&gt;0,IF(A362&gt;=$B$16,$B$15,0),0)))))</f>
      </c>
      <c r="E362" s="3">
        <f>IF($B$22&lt;&gt;"Ready","",IF($B$6+99&gt;=$B$8,"",IF(A362&lt;$B$7,0,12*$B$12)))</f>
      </c>
      <c r="F362" s="3">
        <f>IF($B$22&lt;&gt;"Ready","",IF($B$6+99&gt;=$B$8,"",MAX(0,E362-D362)))</f>
      </c>
      <c r="G362" s="3">
        <f>IF($B$22&lt;&gt;"Ready","",IF($B$6+99&gt;=$B$8,"",MAX(0,B362*(1+$B$29)+C362-F362)))</f>
      </c>
      <c r="H362" s="3">
        <f>IF($B$22&lt;&gt;"Ready","",IF($B$6+99&gt;=$B$8,"",ROUND(IF(ABS((MAX(0,F362-(B362*(1+$B$29)+C362))*100)-(INT(MAX(0,F362-(B362*(1+$B$29)+C362))*100)+0.5))&lt;=MIN(0.0000001,4*2.220446049250313E-16*MAX(1,ABS(F362),ABS(B362*(1+$B$29)+C362))*100),(INT(MAX(0,F362-(B362*(1+$B$29)+C362))*100)+0.5),MAX(0,F362-(B362*(1+$B$29)+C362))*100),0)/100))</f>
      </c>
      <c r="I362" s="0">
        <f>IF($B$22&lt;&gt;"Ready","",IF($B$6+99&gt;=$B$8,"",IF(I361&lt;&gt;"",I361,IF(H362&gt;0,A362+1,""))))</f>
      </c>
    </row>
    <row r="363" ht="15" customHeight="1">
      <c r="A363" s="0">
        <f>IF($B$22&lt;&gt;"Ready","",IF($B$6+100&gt;=$B$8,"",$B$6+100))</f>
      </c>
      <c r="B363" s="3">
        <f>IF($B$22&lt;&gt;"Ready","",IF($B$6+100&gt;=$B$8,"",G362))</f>
      </c>
      <c r="C363" s="3">
        <f>IF($B$22&lt;&gt;"Ready","",IF($B$6+100&gt;=$B$8,"",IF(A363&lt;$B$7,12*($B$10+$B$11),0)))</f>
      </c>
      <c r="D363" s="3">
        <f>IF($B$22&lt;&gt;"Ready","",IF($B$6+100&gt;=$B$8,"",IF(A363&lt;$B$7,0,12*(IF($B$13&gt;0,IF(A363&gt;=$B$14,$B$13,0),0)+IF($B$15&gt;0,IF(A363&gt;=$B$16,$B$15,0),0)))))</f>
      </c>
      <c r="E363" s="3">
        <f>IF($B$22&lt;&gt;"Ready","",IF($B$6+100&gt;=$B$8,"",IF(A363&lt;$B$7,0,12*$B$12)))</f>
      </c>
      <c r="F363" s="3">
        <f>IF($B$22&lt;&gt;"Ready","",IF($B$6+100&gt;=$B$8,"",MAX(0,E363-D363)))</f>
      </c>
      <c r="G363" s="3">
        <f>IF($B$22&lt;&gt;"Ready","",IF($B$6+100&gt;=$B$8,"",MAX(0,B363*(1+$B$29)+C363-F363)))</f>
      </c>
      <c r="H363" s="3">
        <f>IF($B$22&lt;&gt;"Ready","",IF($B$6+100&gt;=$B$8,"",ROUND(IF(ABS((MAX(0,F363-(B363*(1+$B$29)+C363))*100)-(INT(MAX(0,F363-(B363*(1+$B$29)+C363))*100)+0.5))&lt;=MIN(0.0000001,4*2.220446049250313E-16*MAX(1,ABS(F363),ABS(B363*(1+$B$29)+C363))*100),(INT(MAX(0,F363-(B363*(1+$B$29)+C363))*100)+0.5),MAX(0,F363-(B363*(1+$B$29)+C363))*100),0)/100))</f>
      </c>
      <c r="I363" s="0">
        <f>IF($B$22&lt;&gt;"Ready","",IF($B$6+100&gt;=$B$8,"",IF(I362&lt;&gt;"",I362,IF(H363&gt;0,A363+1,""))))</f>
      </c>
    </row>
    <row r="364" ht="15" customHeight="1">
      <c r="A364" s="0">
        <f>IF($B$22&lt;&gt;"Ready","",IF($B$6+101&gt;=$B$8,"",$B$6+101))</f>
      </c>
      <c r="B364" s="3">
        <f>IF($B$22&lt;&gt;"Ready","",IF($B$6+101&gt;=$B$8,"",G363))</f>
      </c>
      <c r="C364" s="3">
        <f>IF($B$22&lt;&gt;"Ready","",IF($B$6+101&gt;=$B$8,"",IF(A364&lt;$B$7,12*($B$10+$B$11),0)))</f>
      </c>
      <c r="D364" s="3">
        <f>IF($B$22&lt;&gt;"Ready","",IF($B$6+101&gt;=$B$8,"",IF(A364&lt;$B$7,0,12*(IF($B$13&gt;0,IF(A364&gt;=$B$14,$B$13,0),0)+IF($B$15&gt;0,IF(A364&gt;=$B$16,$B$15,0),0)))))</f>
      </c>
      <c r="E364" s="3">
        <f>IF($B$22&lt;&gt;"Ready","",IF($B$6+101&gt;=$B$8,"",IF(A364&lt;$B$7,0,12*$B$12)))</f>
      </c>
      <c r="F364" s="3">
        <f>IF($B$22&lt;&gt;"Ready","",IF($B$6+101&gt;=$B$8,"",MAX(0,E364-D364)))</f>
      </c>
      <c r="G364" s="3">
        <f>IF($B$22&lt;&gt;"Ready","",IF($B$6+101&gt;=$B$8,"",MAX(0,B364*(1+$B$29)+C364-F364)))</f>
      </c>
      <c r="H364" s="3">
        <f>IF($B$22&lt;&gt;"Ready","",IF($B$6+101&gt;=$B$8,"",ROUND(IF(ABS((MAX(0,F364-(B364*(1+$B$29)+C364))*100)-(INT(MAX(0,F364-(B364*(1+$B$29)+C364))*100)+0.5))&lt;=MIN(0.0000001,4*2.220446049250313E-16*MAX(1,ABS(F364),ABS(B364*(1+$B$29)+C364))*100),(INT(MAX(0,F364-(B364*(1+$B$29)+C364))*100)+0.5),MAX(0,F364-(B364*(1+$B$29)+C364))*100),0)/100))</f>
      </c>
      <c r="I364" s="0">
        <f>IF($B$22&lt;&gt;"Ready","",IF($B$6+101&gt;=$B$8,"",IF(I363&lt;&gt;"",I363,IF(H364&gt;0,A364+1,""))))</f>
      </c>
    </row>
    <row r="365" ht="15" customHeight="1">
      <c r="A365" s="0">
        <f>IF($B$22&lt;&gt;"Ready","",IF($B$6+102&gt;=$B$8,"",$B$6+102))</f>
      </c>
      <c r="B365" s="3">
        <f>IF($B$22&lt;&gt;"Ready","",IF($B$6+102&gt;=$B$8,"",G364))</f>
      </c>
      <c r="C365" s="3">
        <f>IF($B$22&lt;&gt;"Ready","",IF($B$6+102&gt;=$B$8,"",IF(A365&lt;$B$7,12*($B$10+$B$11),0)))</f>
      </c>
      <c r="D365" s="3">
        <f>IF($B$22&lt;&gt;"Ready","",IF($B$6+102&gt;=$B$8,"",IF(A365&lt;$B$7,0,12*(IF($B$13&gt;0,IF(A365&gt;=$B$14,$B$13,0),0)+IF($B$15&gt;0,IF(A365&gt;=$B$16,$B$15,0),0)))))</f>
      </c>
      <c r="E365" s="3">
        <f>IF($B$22&lt;&gt;"Ready","",IF($B$6+102&gt;=$B$8,"",IF(A365&lt;$B$7,0,12*$B$12)))</f>
      </c>
      <c r="F365" s="3">
        <f>IF($B$22&lt;&gt;"Ready","",IF($B$6+102&gt;=$B$8,"",MAX(0,E365-D365)))</f>
      </c>
      <c r="G365" s="3">
        <f>IF($B$22&lt;&gt;"Ready","",IF($B$6+102&gt;=$B$8,"",MAX(0,B365*(1+$B$29)+C365-F365)))</f>
      </c>
      <c r="H365" s="3">
        <f>IF($B$22&lt;&gt;"Ready","",IF($B$6+102&gt;=$B$8,"",ROUND(IF(ABS((MAX(0,F365-(B365*(1+$B$29)+C365))*100)-(INT(MAX(0,F365-(B365*(1+$B$29)+C365))*100)+0.5))&lt;=MIN(0.0000001,4*2.220446049250313E-16*MAX(1,ABS(F365),ABS(B365*(1+$B$29)+C365))*100),(INT(MAX(0,F365-(B365*(1+$B$29)+C365))*100)+0.5),MAX(0,F365-(B365*(1+$B$29)+C365))*100),0)/100))</f>
      </c>
      <c r="I365" s="0">
        <f>IF($B$22&lt;&gt;"Ready","",IF($B$6+102&gt;=$B$8,"",IF(I364&lt;&gt;"",I364,IF(H365&gt;0,A365+1,""))))</f>
      </c>
    </row>
    <row r="366" ht="15" customHeight="1">
      <c r="A366" s="0">
        <f>IF($B$22&lt;&gt;"Ready","",IF($B$6+103&gt;=$B$8,"",$B$6+103))</f>
      </c>
      <c r="B366" s="3">
        <f>IF($B$22&lt;&gt;"Ready","",IF($B$6+103&gt;=$B$8,"",G365))</f>
      </c>
      <c r="C366" s="3">
        <f>IF($B$22&lt;&gt;"Ready","",IF($B$6+103&gt;=$B$8,"",IF(A366&lt;$B$7,12*($B$10+$B$11),0)))</f>
      </c>
      <c r="D366" s="3">
        <f>IF($B$22&lt;&gt;"Ready","",IF($B$6+103&gt;=$B$8,"",IF(A366&lt;$B$7,0,12*(IF($B$13&gt;0,IF(A366&gt;=$B$14,$B$13,0),0)+IF($B$15&gt;0,IF(A366&gt;=$B$16,$B$15,0),0)))))</f>
      </c>
      <c r="E366" s="3">
        <f>IF($B$22&lt;&gt;"Ready","",IF($B$6+103&gt;=$B$8,"",IF(A366&lt;$B$7,0,12*$B$12)))</f>
      </c>
      <c r="F366" s="3">
        <f>IF($B$22&lt;&gt;"Ready","",IF($B$6+103&gt;=$B$8,"",MAX(0,E366-D366)))</f>
      </c>
      <c r="G366" s="3">
        <f>IF($B$22&lt;&gt;"Ready","",IF($B$6+103&gt;=$B$8,"",MAX(0,B366*(1+$B$29)+C366-F366)))</f>
      </c>
      <c r="H366" s="3">
        <f>IF($B$22&lt;&gt;"Ready","",IF($B$6+103&gt;=$B$8,"",ROUND(IF(ABS((MAX(0,F366-(B366*(1+$B$29)+C366))*100)-(INT(MAX(0,F366-(B366*(1+$B$29)+C366))*100)+0.5))&lt;=MIN(0.0000001,4*2.220446049250313E-16*MAX(1,ABS(F366),ABS(B366*(1+$B$29)+C366))*100),(INT(MAX(0,F366-(B366*(1+$B$29)+C366))*100)+0.5),MAX(0,F366-(B366*(1+$B$29)+C366))*100),0)/100))</f>
      </c>
      <c r="I366" s="0">
        <f>IF($B$22&lt;&gt;"Ready","",IF($B$6+103&gt;=$B$8,"",IF(I365&lt;&gt;"",I365,IF(H366&gt;0,A366+1,""))))</f>
      </c>
    </row>
    <row r="367" ht="15" customHeight="1">
      <c r="A367" s="0">
        <f>IF($B$22&lt;&gt;"Ready","",IF($B$6+104&gt;=$B$8,"",$B$6+104))</f>
      </c>
      <c r="B367" s="3">
        <f>IF($B$22&lt;&gt;"Ready","",IF($B$6+104&gt;=$B$8,"",G366))</f>
      </c>
      <c r="C367" s="3">
        <f>IF($B$22&lt;&gt;"Ready","",IF($B$6+104&gt;=$B$8,"",IF(A367&lt;$B$7,12*($B$10+$B$11),0)))</f>
      </c>
      <c r="D367" s="3">
        <f>IF($B$22&lt;&gt;"Ready","",IF($B$6+104&gt;=$B$8,"",IF(A367&lt;$B$7,0,12*(IF($B$13&gt;0,IF(A367&gt;=$B$14,$B$13,0),0)+IF($B$15&gt;0,IF(A367&gt;=$B$16,$B$15,0),0)))))</f>
      </c>
      <c r="E367" s="3">
        <f>IF($B$22&lt;&gt;"Ready","",IF($B$6+104&gt;=$B$8,"",IF(A367&lt;$B$7,0,12*$B$12)))</f>
      </c>
      <c r="F367" s="3">
        <f>IF($B$22&lt;&gt;"Ready","",IF($B$6+104&gt;=$B$8,"",MAX(0,E367-D367)))</f>
      </c>
      <c r="G367" s="3">
        <f>IF($B$22&lt;&gt;"Ready","",IF($B$6+104&gt;=$B$8,"",MAX(0,B367*(1+$B$29)+C367-F367)))</f>
      </c>
      <c r="H367" s="3">
        <f>IF($B$22&lt;&gt;"Ready","",IF($B$6+104&gt;=$B$8,"",ROUND(IF(ABS((MAX(0,F367-(B367*(1+$B$29)+C367))*100)-(INT(MAX(0,F367-(B367*(1+$B$29)+C367))*100)+0.5))&lt;=MIN(0.0000001,4*2.220446049250313E-16*MAX(1,ABS(F367),ABS(B367*(1+$B$29)+C367))*100),(INT(MAX(0,F367-(B367*(1+$B$29)+C367))*100)+0.5),MAX(0,F367-(B367*(1+$B$29)+C367))*100),0)/100))</f>
      </c>
      <c r="I367" s="0">
        <f>IF($B$22&lt;&gt;"Ready","",IF($B$6+104&gt;=$B$8,"",IF(I366&lt;&gt;"",I366,IF(H367&gt;0,A367+1,""))))</f>
      </c>
    </row>
    <row r="368" ht="15" customHeight="1">
      <c r="A368" s="0">
        <f>IF($B$22&lt;&gt;"Ready","",IF($B$6+105&gt;=$B$8,"",$B$6+105))</f>
      </c>
      <c r="B368" s="3">
        <f>IF($B$22&lt;&gt;"Ready","",IF($B$6+105&gt;=$B$8,"",G367))</f>
      </c>
      <c r="C368" s="3">
        <f>IF($B$22&lt;&gt;"Ready","",IF($B$6+105&gt;=$B$8,"",IF(A368&lt;$B$7,12*($B$10+$B$11),0)))</f>
      </c>
      <c r="D368" s="3">
        <f>IF($B$22&lt;&gt;"Ready","",IF($B$6+105&gt;=$B$8,"",IF(A368&lt;$B$7,0,12*(IF($B$13&gt;0,IF(A368&gt;=$B$14,$B$13,0),0)+IF($B$15&gt;0,IF(A368&gt;=$B$16,$B$15,0),0)))))</f>
      </c>
      <c r="E368" s="3">
        <f>IF($B$22&lt;&gt;"Ready","",IF($B$6+105&gt;=$B$8,"",IF(A368&lt;$B$7,0,12*$B$12)))</f>
      </c>
      <c r="F368" s="3">
        <f>IF($B$22&lt;&gt;"Ready","",IF($B$6+105&gt;=$B$8,"",MAX(0,E368-D368)))</f>
      </c>
      <c r="G368" s="3">
        <f>IF($B$22&lt;&gt;"Ready","",IF($B$6+105&gt;=$B$8,"",MAX(0,B368*(1+$B$29)+C368-F368)))</f>
      </c>
      <c r="H368" s="3">
        <f>IF($B$22&lt;&gt;"Ready","",IF($B$6+105&gt;=$B$8,"",ROUND(IF(ABS((MAX(0,F368-(B368*(1+$B$29)+C368))*100)-(INT(MAX(0,F368-(B368*(1+$B$29)+C368))*100)+0.5))&lt;=MIN(0.0000001,4*2.220446049250313E-16*MAX(1,ABS(F368),ABS(B368*(1+$B$29)+C368))*100),(INT(MAX(0,F368-(B368*(1+$B$29)+C368))*100)+0.5),MAX(0,F368-(B368*(1+$B$29)+C368))*100),0)/100))</f>
      </c>
      <c r="I368" s="0">
        <f>IF($B$22&lt;&gt;"Ready","",IF($B$6+105&gt;=$B$8,"",IF(I367&lt;&gt;"",I367,IF(H368&gt;0,A368+1,""))))</f>
      </c>
    </row>
    <row r="369" ht="15" customHeight="1">
      <c r="A369" s="0">
        <f>IF($B$22&lt;&gt;"Ready","",IF($B$6+106&gt;=$B$8,"",$B$6+106))</f>
      </c>
      <c r="B369" s="3">
        <f>IF($B$22&lt;&gt;"Ready","",IF($B$6+106&gt;=$B$8,"",G368))</f>
      </c>
      <c r="C369" s="3">
        <f>IF($B$22&lt;&gt;"Ready","",IF($B$6+106&gt;=$B$8,"",IF(A369&lt;$B$7,12*($B$10+$B$11),0)))</f>
      </c>
      <c r="D369" s="3">
        <f>IF($B$22&lt;&gt;"Ready","",IF($B$6+106&gt;=$B$8,"",IF(A369&lt;$B$7,0,12*(IF($B$13&gt;0,IF(A369&gt;=$B$14,$B$13,0),0)+IF($B$15&gt;0,IF(A369&gt;=$B$16,$B$15,0),0)))))</f>
      </c>
      <c r="E369" s="3">
        <f>IF($B$22&lt;&gt;"Ready","",IF($B$6+106&gt;=$B$8,"",IF(A369&lt;$B$7,0,12*$B$12)))</f>
      </c>
      <c r="F369" s="3">
        <f>IF($B$22&lt;&gt;"Ready","",IF($B$6+106&gt;=$B$8,"",MAX(0,E369-D369)))</f>
      </c>
      <c r="G369" s="3">
        <f>IF($B$22&lt;&gt;"Ready","",IF($B$6+106&gt;=$B$8,"",MAX(0,B369*(1+$B$29)+C369-F369)))</f>
      </c>
      <c r="H369" s="3">
        <f>IF($B$22&lt;&gt;"Ready","",IF($B$6+106&gt;=$B$8,"",ROUND(IF(ABS((MAX(0,F369-(B369*(1+$B$29)+C369))*100)-(INT(MAX(0,F369-(B369*(1+$B$29)+C369))*100)+0.5))&lt;=MIN(0.0000001,4*2.220446049250313E-16*MAX(1,ABS(F369),ABS(B369*(1+$B$29)+C369))*100),(INT(MAX(0,F369-(B369*(1+$B$29)+C369))*100)+0.5),MAX(0,F369-(B369*(1+$B$29)+C369))*100),0)/100))</f>
      </c>
      <c r="I369" s="0">
        <f>IF($B$22&lt;&gt;"Ready","",IF($B$6+106&gt;=$B$8,"",IF(I368&lt;&gt;"",I368,IF(H369&gt;0,A369+1,""))))</f>
      </c>
    </row>
    <row r="370" ht="15" customHeight="1">
      <c r="A370" s="0">
        <f>IF($B$22&lt;&gt;"Ready","",IF($B$6+107&gt;=$B$8,"",$B$6+107))</f>
      </c>
      <c r="B370" s="3">
        <f>IF($B$22&lt;&gt;"Ready","",IF($B$6+107&gt;=$B$8,"",G369))</f>
      </c>
      <c r="C370" s="3">
        <f>IF($B$22&lt;&gt;"Ready","",IF($B$6+107&gt;=$B$8,"",IF(A370&lt;$B$7,12*($B$10+$B$11),0)))</f>
      </c>
      <c r="D370" s="3">
        <f>IF($B$22&lt;&gt;"Ready","",IF($B$6+107&gt;=$B$8,"",IF(A370&lt;$B$7,0,12*(IF($B$13&gt;0,IF(A370&gt;=$B$14,$B$13,0),0)+IF($B$15&gt;0,IF(A370&gt;=$B$16,$B$15,0),0)))))</f>
      </c>
      <c r="E370" s="3">
        <f>IF($B$22&lt;&gt;"Ready","",IF($B$6+107&gt;=$B$8,"",IF(A370&lt;$B$7,0,12*$B$12)))</f>
      </c>
      <c r="F370" s="3">
        <f>IF($B$22&lt;&gt;"Ready","",IF($B$6+107&gt;=$B$8,"",MAX(0,E370-D370)))</f>
      </c>
      <c r="G370" s="3">
        <f>IF($B$22&lt;&gt;"Ready","",IF($B$6+107&gt;=$B$8,"",MAX(0,B370*(1+$B$29)+C370-F370)))</f>
      </c>
      <c r="H370" s="3">
        <f>IF($B$22&lt;&gt;"Ready","",IF($B$6+107&gt;=$B$8,"",ROUND(IF(ABS((MAX(0,F370-(B370*(1+$B$29)+C370))*100)-(INT(MAX(0,F370-(B370*(1+$B$29)+C370))*100)+0.5))&lt;=MIN(0.0000001,4*2.220446049250313E-16*MAX(1,ABS(F370),ABS(B370*(1+$B$29)+C370))*100),(INT(MAX(0,F370-(B370*(1+$B$29)+C370))*100)+0.5),MAX(0,F370-(B370*(1+$B$29)+C370))*100),0)/100))</f>
      </c>
      <c r="I370" s="0">
        <f>IF($B$22&lt;&gt;"Ready","",IF($B$6+107&gt;=$B$8,"",IF(I369&lt;&gt;"",I369,IF(H370&gt;0,A370+1,""))))</f>
      </c>
    </row>
    <row r="371" ht="15" customHeight="1">
      <c r="A371" s="0">
        <f>IF($B$22&lt;&gt;"Ready","",IF($B$6+108&gt;=$B$8,"",$B$6+108))</f>
      </c>
      <c r="B371" s="3">
        <f>IF($B$22&lt;&gt;"Ready","",IF($B$6+108&gt;=$B$8,"",G370))</f>
      </c>
      <c r="C371" s="3">
        <f>IF($B$22&lt;&gt;"Ready","",IF($B$6+108&gt;=$B$8,"",IF(A371&lt;$B$7,12*($B$10+$B$11),0)))</f>
      </c>
      <c r="D371" s="3">
        <f>IF($B$22&lt;&gt;"Ready","",IF($B$6+108&gt;=$B$8,"",IF(A371&lt;$B$7,0,12*(IF($B$13&gt;0,IF(A371&gt;=$B$14,$B$13,0),0)+IF($B$15&gt;0,IF(A371&gt;=$B$16,$B$15,0),0)))))</f>
      </c>
      <c r="E371" s="3">
        <f>IF($B$22&lt;&gt;"Ready","",IF($B$6+108&gt;=$B$8,"",IF(A371&lt;$B$7,0,12*$B$12)))</f>
      </c>
      <c r="F371" s="3">
        <f>IF($B$22&lt;&gt;"Ready","",IF($B$6+108&gt;=$B$8,"",MAX(0,E371-D371)))</f>
      </c>
      <c r="G371" s="3">
        <f>IF($B$22&lt;&gt;"Ready","",IF($B$6+108&gt;=$B$8,"",MAX(0,B371*(1+$B$29)+C371-F371)))</f>
      </c>
      <c r="H371" s="3">
        <f>IF($B$22&lt;&gt;"Ready","",IF($B$6+108&gt;=$B$8,"",ROUND(IF(ABS((MAX(0,F371-(B371*(1+$B$29)+C371))*100)-(INT(MAX(0,F371-(B371*(1+$B$29)+C371))*100)+0.5))&lt;=MIN(0.0000001,4*2.220446049250313E-16*MAX(1,ABS(F371),ABS(B371*(1+$B$29)+C371))*100),(INT(MAX(0,F371-(B371*(1+$B$29)+C371))*100)+0.5),MAX(0,F371-(B371*(1+$B$29)+C371))*100),0)/100))</f>
      </c>
      <c r="I371" s="0">
        <f>IF($B$22&lt;&gt;"Ready","",IF($B$6+108&gt;=$B$8,"",IF(I370&lt;&gt;"",I370,IF(H371&gt;0,A371+1,""))))</f>
      </c>
    </row>
    <row r="372" ht="15" customHeight="1">
      <c r="A372" s="0">
        <f>IF($B$22&lt;&gt;"Ready","",IF($B$6+109&gt;=$B$8,"",$B$6+109))</f>
      </c>
      <c r="B372" s="3">
        <f>IF($B$22&lt;&gt;"Ready","",IF($B$6+109&gt;=$B$8,"",G371))</f>
      </c>
      <c r="C372" s="3">
        <f>IF($B$22&lt;&gt;"Ready","",IF($B$6+109&gt;=$B$8,"",IF(A372&lt;$B$7,12*($B$10+$B$11),0)))</f>
      </c>
      <c r="D372" s="3">
        <f>IF($B$22&lt;&gt;"Ready","",IF($B$6+109&gt;=$B$8,"",IF(A372&lt;$B$7,0,12*(IF($B$13&gt;0,IF(A372&gt;=$B$14,$B$13,0),0)+IF($B$15&gt;0,IF(A372&gt;=$B$16,$B$15,0),0)))))</f>
      </c>
      <c r="E372" s="3">
        <f>IF($B$22&lt;&gt;"Ready","",IF($B$6+109&gt;=$B$8,"",IF(A372&lt;$B$7,0,12*$B$12)))</f>
      </c>
      <c r="F372" s="3">
        <f>IF($B$22&lt;&gt;"Ready","",IF($B$6+109&gt;=$B$8,"",MAX(0,E372-D372)))</f>
      </c>
      <c r="G372" s="3">
        <f>IF($B$22&lt;&gt;"Ready","",IF($B$6+109&gt;=$B$8,"",MAX(0,B372*(1+$B$29)+C372-F372)))</f>
      </c>
      <c r="H372" s="3">
        <f>IF($B$22&lt;&gt;"Ready","",IF($B$6+109&gt;=$B$8,"",ROUND(IF(ABS((MAX(0,F372-(B372*(1+$B$29)+C372))*100)-(INT(MAX(0,F372-(B372*(1+$B$29)+C372))*100)+0.5))&lt;=MIN(0.0000001,4*2.220446049250313E-16*MAX(1,ABS(F372),ABS(B372*(1+$B$29)+C372))*100),(INT(MAX(0,F372-(B372*(1+$B$29)+C372))*100)+0.5),MAX(0,F372-(B372*(1+$B$29)+C372))*100),0)/100))</f>
      </c>
      <c r="I372" s="0">
        <f>IF($B$22&lt;&gt;"Ready","",IF($B$6+109&gt;=$B$8,"",IF(I371&lt;&gt;"",I371,IF(H372&gt;0,A372+1,""))))</f>
      </c>
    </row>
  </sheetData>
  <mergeCells count="12">
    <mergeCell ref="A1:I1"/>
    <mergeCell ref="A2:I2"/>
    <mergeCell ref="A4:I4"/>
    <mergeCell ref="A24:I24"/>
    <mergeCell ref="A25:I25"/>
    <mergeCell ref="A30:I30"/>
    <mergeCell ref="A31:I31"/>
    <mergeCell ref="A32:I32"/>
    <mergeCell ref="A33:I33"/>
    <mergeCell ref="A35:I35"/>
    <mergeCell ref="A148:I148"/>
    <mergeCell ref="A261:I261"/>
  </mergeCells>
</worksheet>
</file>